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095" activeTab="1"/>
  </bookViews>
  <sheets>
    <sheet name="YM-2012-Q2" sheetId="1" r:id="rId1"/>
    <sheet name=" Pro-Forma -51% Solution - V#1 " sheetId="2" r:id="rId2"/>
    <sheet name="Pro-Forma -51% Solution -  V#2" sheetId="3" r:id="rId3"/>
    <sheet name="Pro-Forma - No Recap" sheetId="4" r:id="rId4"/>
    <sheet name="YM-2012-Q1" sheetId="5" r:id="rId5"/>
    <sheet name="YM-2011-Q4" sheetId="6" r:id="rId6"/>
  </sheets>
  <definedNames/>
  <calcPr fullCalcOnLoad="1"/>
</workbook>
</file>

<file path=xl/comments1.xml><?xml version="1.0" encoding="utf-8"?>
<comments xmlns="http://schemas.openxmlformats.org/spreadsheetml/2006/main">
  <authors>
    <author>Vic</author>
  </authors>
  <commentLis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D59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7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67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I67" authorId="0">
      <text>
        <r>
          <rPr>
            <b/>
            <sz val="9"/>
            <rFont val="Tahoma"/>
            <family val="0"/>
          </rPr>
          <t>Jan 1, 2013 installment + Feb balance due</t>
        </r>
        <r>
          <rPr>
            <sz val="9"/>
            <rFont val="Tahoma"/>
            <family val="0"/>
          </rPr>
          <t xml:space="preserve">
</t>
        </r>
      </text>
    </comment>
    <comment ref="E68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I68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M68" authorId="0">
      <text>
        <r>
          <rPr>
            <b/>
            <sz val="12"/>
            <color indexed="10"/>
            <rFont val="Tahoma"/>
            <family val="2"/>
          </rPr>
          <t>Assumes RT drawdown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P68" authorId="0">
      <text>
        <r>
          <rPr>
            <b/>
            <sz val="12"/>
            <color indexed="10"/>
            <rFont val="Tahoma"/>
            <family val="2"/>
          </rPr>
          <t>Assumes RT payback</t>
        </r>
        <r>
          <rPr>
            <sz val="9"/>
            <rFont val="Tahoma"/>
            <family val="0"/>
          </rPr>
          <t xml:space="preserve">
</t>
        </r>
      </text>
    </comment>
    <comment ref="D69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F67" authorId="0">
      <text>
        <r>
          <rPr>
            <b/>
            <sz val="14"/>
            <color indexed="10"/>
            <rFont val="Tahoma"/>
            <family val="2"/>
          </rPr>
          <t>March 1, 2012 installment</t>
        </r>
      </text>
    </comment>
  </commentList>
</comments>
</file>

<file path=xl/comments2.xml><?xml version="1.0" encoding="utf-8"?>
<comments xmlns="http://schemas.openxmlformats.org/spreadsheetml/2006/main">
  <authors>
    <author>Vic</author>
  </authors>
  <commentLis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D60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68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14"/>
            <color indexed="10"/>
            <rFont val="Tahoma"/>
            <family val="2"/>
          </rPr>
          <t>March 1, 2012 installment</t>
        </r>
      </text>
    </comment>
    <comment ref="I68" authorId="0">
      <text>
        <r>
          <rPr>
            <b/>
            <sz val="9"/>
            <rFont val="Tahoma"/>
            <family val="0"/>
          </rPr>
          <t>Jan 1, 2013 installment + Feb balance due</t>
        </r>
        <r>
          <rPr>
            <sz val="9"/>
            <rFont val="Tahoma"/>
            <family val="0"/>
          </rPr>
          <t xml:space="preserve">
</t>
        </r>
      </text>
    </comment>
    <comment ref="E69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D70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H69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G55" authorId="0">
      <text>
        <r>
          <rPr>
            <b/>
            <sz val="14"/>
            <color indexed="10"/>
            <rFont val="Tahoma"/>
            <family val="2"/>
          </rPr>
          <t xml:space="preserve">Assumes preferred  dividend arrears paid on all series
</t>
        </r>
      </text>
    </comment>
    <comment ref="H55" authorId="0">
      <text>
        <r>
          <rPr>
            <b/>
            <sz val="14"/>
            <color indexed="10"/>
            <rFont val="Tahoma"/>
            <family val="2"/>
          </rPr>
          <t xml:space="preserve">6.9% dividends on $232.8 million of new preferred shares 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I73" authorId="0">
      <text>
        <r>
          <rPr>
            <b/>
            <sz val="14"/>
            <color indexed="10"/>
            <rFont val="Tahoma"/>
            <family val="2"/>
          </rPr>
          <t>Redeem notes at market or by re-call with a bonus</t>
        </r>
      </text>
    </comment>
  </commentList>
</comments>
</file>

<file path=xl/comments3.xml><?xml version="1.0" encoding="utf-8"?>
<comments xmlns="http://schemas.openxmlformats.org/spreadsheetml/2006/main">
  <authors>
    <author>Vic</author>
  </authors>
  <commentLis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G55" authorId="0">
      <text>
        <r>
          <rPr>
            <b/>
            <sz val="14"/>
            <color indexed="10"/>
            <rFont val="Tahoma"/>
            <family val="2"/>
          </rPr>
          <t xml:space="preserve">Assumes preferred  dividend arrears paid on all series
</t>
        </r>
      </text>
    </comment>
    <comment ref="H55" authorId="0">
      <text>
        <r>
          <rPr>
            <b/>
            <sz val="14"/>
            <color indexed="10"/>
            <rFont val="Tahoma"/>
            <family val="2"/>
          </rPr>
          <t xml:space="preserve">6.9% dividends on $132.1 million of new preferred shares 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60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68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14"/>
            <color indexed="10"/>
            <rFont val="Tahoma"/>
            <family val="2"/>
          </rPr>
          <t>March 1, 2012 installment</t>
        </r>
      </text>
    </comment>
    <comment ref="I68" authorId="0">
      <text>
        <r>
          <rPr>
            <b/>
            <sz val="9"/>
            <rFont val="Tahoma"/>
            <family val="0"/>
          </rPr>
          <t>Jan 1, 2013 installment + Feb balance due</t>
        </r>
        <r>
          <rPr>
            <sz val="9"/>
            <rFont val="Tahoma"/>
            <family val="0"/>
          </rPr>
          <t xml:space="preserve">
</t>
        </r>
      </text>
    </comment>
    <comment ref="E69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H69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D70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I73" authorId="0">
      <text>
        <r>
          <rPr>
            <b/>
            <sz val="14"/>
            <color indexed="10"/>
            <rFont val="Tahoma"/>
            <family val="2"/>
          </rPr>
          <t>Redeem notes at market or by re-call with a bonus</t>
        </r>
      </text>
    </comment>
  </commentList>
</comments>
</file>

<file path=xl/comments4.xml><?xml version="1.0" encoding="utf-8"?>
<comments xmlns="http://schemas.openxmlformats.org/spreadsheetml/2006/main">
  <authors>
    <author>Vic</author>
  </authors>
  <commentLis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D59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7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67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F67" authorId="0">
      <text>
        <r>
          <rPr>
            <b/>
            <sz val="14"/>
            <color indexed="10"/>
            <rFont val="Tahoma"/>
            <family val="2"/>
          </rPr>
          <t>March 1, 2012 installment</t>
        </r>
      </text>
    </comment>
    <comment ref="I67" authorId="0">
      <text>
        <r>
          <rPr>
            <b/>
            <sz val="14"/>
            <color indexed="10"/>
            <rFont val="Tahoma"/>
            <family val="2"/>
          </rPr>
          <t>Jan 1, 2013 installment 
Balance due in Feb 2012
Assumes payments continue until paid</t>
        </r>
        <r>
          <rPr>
            <b/>
            <sz val="14"/>
            <rFont val="Tahoma"/>
            <family val="2"/>
          </rPr>
          <t xml:space="preserve">
</t>
        </r>
      </text>
    </comment>
    <comment ref="E68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I68" authorId="0">
      <text>
        <r>
          <rPr>
            <b/>
            <sz val="12"/>
            <color indexed="10"/>
            <rFont val="Tahoma"/>
            <family val="2"/>
          </rPr>
          <t>Assumes repayment of $239 the RT is 
delayed until 2017</t>
        </r>
      </text>
    </comment>
    <comment ref="D69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Vic</author>
  </authors>
  <commentLis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0"/>
          </rPr>
          <t xml:space="preserve">
</t>
        </r>
      </text>
    </comment>
    <comment ref="D59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7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67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I67" authorId="0">
      <text>
        <r>
          <rPr>
            <b/>
            <sz val="9"/>
            <rFont val="Tahoma"/>
            <family val="0"/>
          </rPr>
          <t>Jan 1, 2013 installment + Feb balance due</t>
        </r>
        <r>
          <rPr>
            <sz val="9"/>
            <rFont val="Tahoma"/>
            <family val="0"/>
          </rPr>
          <t xml:space="preserve">
</t>
        </r>
      </text>
    </comment>
    <comment ref="E68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I68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M68" authorId="0">
      <text>
        <r>
          <rPr>
            <b/>
            <sz val="12"/>
            <color indexed="10"/>
            <rFont val="Tahoma"/>
            <family val="2"/>
          </rPr>
          <t>Assumes RT drawdown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P68" authorId="0">
      <text>
        <r>
          <rPr>
            <b/>
            <sz val="12"/>
            <color indexed="10"/>
            <rFont val="Tahoma"/>
            <family val="2"/>
          </rPr>
          <t>Assumes RT payback</t>
        </r>
        <r>
          <rPr>
            <sz val="9"/>
            <rFont val="Tahoma"/>
            <family val="0"/>
          </rPr>
          <t xml:space="preserve">
</t>
        </r>
      </text>
    </comment>
    <comment ref="D69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Vic</author>
  </authors>
  <commentList>
    <comment ref="D56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4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E65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E64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I64" authorId="0">
      <text>
        <r>
          <rPr>
            <b/>
            <sz val="9"/>
            <rFont val="Tahoma"/>
            <family val="0"/>
          </rPr>
          <t>Jan 1, 2013 installment + Feb balance due</t>
        </r>
        <r>
          <rPr>
            <sz val="9"/>
            <rFont val="Tahoma"/>
            <family val="0"/>
          </rPr>
          <t xml:space="preserve">
</t>
        </r>
      </text>
    </comment>
    <comment ref="I65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M65" authorId="0">
      <text>
        <r>
          <rPr>
            <b/>
            <sz val="12"/>
            <color indexed="10"/>
            <rFont val="Tahoma"/>
            <family val="2"/>
          </rPr>
          <t>Assumes RT drawdown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P65" authorId="0">
      <text>
        <r>
          <rPr>
            <b/>
            <sz val="12"/>
            <color indexed="10"/>
            <rFont val="Tahoma"/>
            <family val="2"/>
          </rPr>
          <t>Assumes RT payback</t>
        </r>
        <r>
          <rPr>
            <sz val="9"/>
            <rFont val="Tahoma"/>
            <family val="0"/>
          </rPr>
          <t xml:space="preserve">
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<sst xmlns="http://schemas.openxmlformats.org/spreadsheetml/2006/main" count="870" uniqueCount="131">
  <si>
    <t>2012 - Q1</t>
  </si>
  <si>
    <t>2012 - Q2</t>
  </si>
  <si>
    <t>2012 - Q3</t>
  </si>
  <si>
    <t>2012 - Q4</t>
  </si>
  <si>
    <t>2013 - Q1</t>
  </si>
  <si>
    <t>2013 - Q2</t>
  </si>
  <si>
    <t>2013 - Q3</t>
  </si>
  <si>
    <t>2013 - Q4</t>
  </si>
  <si>
    <t>2014 - Q1</t>
  </si>
  <si>
    <t>2014 - Q2</t>
  </si>
  <si>
    <t>2014 - Q3</t>
  </si>
  <si>
    <t>2014 - Q4</t>
  </si>
  <si>
    <t>Tax installments</t>
  </si>
  <si>
    <t>Medium Term Notes</t>
  </si>
  <si>
    <t>A</t>
  </si>
  <si>
    <t>Interest expense</t>
  </si>
  <si>
    <t>Income taxes</t>
  </si>
  <si>
    <t>Dividends</t>
  </si>
  <si>
    <t>2011 - Q4</t>
  </si>
  <si>
    <t>Total payouts</t>
  </si>
  <si>
    <t>Debt</t>
  </si>
  <si>
    <t>Accumulated flow</t>
  </si>
  <si>
    <t>series</t>
  </si>
  <si>
    <t>Commercial paper</t>
  </si>
  <si>
    <t>Dec 2013 - 6.85%</t>
  </si>
  <si>
    <t>July 2013 - 6.50%</t>
  </si>
  <si>
    <t>Apr 2014 - 5.71%</t>
  </si>
  <si>
    <t>Feb 2015 - 7.30%</t>
  </si>
  <si>
    <t>Feb 2016 - 5.25%</t>
  </si>
  <si>
    <t>Nov 2019 - 5.85%</t>
  </si>
  <si>
    <t>Mar 2020 - 7.75%</t>
  </si>
  <si>
    <t>Feb 2036 - 6.25%</t>
  </si>
  <si>
    <t>Debentures  2017- 6.25%</t>
  </si>
  <si>
    <t>Cash on hand - opening</t>
  </si>
  <si>
    <t xml:space="preserve">Debt    </t>
  </si>
  <si>
    <t>Annual</t>
  </si>
  <si>
    <t xml:space="preserve">Taxes </t>
  </si>
  <si>
    <t>B</t>
  </si>
  <si>
    <t>C</t>
  </si>
  <si>
    <t>D</t>
  </si>
  <si>
    <t>Excess cash for period</t>
  </si>
  <si>
    <t>(A - B)</t>
  </si>
  <si>
    <t>E</t>
  </si>
  <si>
    <t>Later</t>
  </si>
  <si>
    <t>CASH PAYOUTS</t>
  </si>
  <si>
    <t>Interest</t>
  </si>
  <si>
    <t xml:space="preserve">Annual </t>
  </si>
  <si>
    <t>(The accumulated flow is the sum of the periods to date, displaying the available cash to meet critical debt payments.)</t>
  </si>
  <si>
    <t>(C - D)</t>
  </si>
  <si>
    <t>F</t>
  </si>
  <si>
    <t>Cash flow for period</t>
  </si>
  <si>
    <t>Cash from asset sales</t>
  </si>
  <si>
    <t>O/S</t>
  </si>
  <si>
    <t>Current</t>
  </si>
  <si>
    <t>EBITDA</t>
  </si>
  <si>
    <t xml:space="preserve">Test period </t>
  </si>
  <si>
    <t xml:space="preserve">(point 9.8 - 6 month EBITDA to exceed 3.5 times test period finance charges) </t>
  </si>
  <si>
    <t>&gt; 3.5</t>
  </si>
  <si>
    <t>6-month finance charges &gt;&gt;&gt;</t>
  </si>
  <si>
    <t xml:space="preserve">Test </t>
  </si>
  <si>
    <t>Period</t>
  </si>
  <si>
    <t>PAID</t>
  </si>
  <si>
    <t xml:space="preserve">    Preferred shares</t>
  </si>
  <si>
    <t>&lt;3.5</t>
  </si>
  <si>
    <r>
      <t xml:space="preserve">(point 9.7 - total consolidated debt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to exceed 3.5 times extrapolated 12-month EBITDA)</t>
    </r>
  </si>
  <si>
    <t>total opening debt</t>
  </si>
  <si>
    <t>CAPEX</t>
  </si>
  <si>
    <t>Online revenues</t>
  </si>
  <si>
    <t>Print revenues</t>
  </si>
  <si>
    <t xml:space="preserve">  Online EBITDA</t>
  </si>
  <si>
    <t>Revenue growth</t>
  </si>
  <si>
    <t xml:space="preserve">  Print EBITDA</t>
  </si>
  <si>
    <t>Gross margin  rate</t>
  </si>
  <si>
    <t>Revenue decline</t>
  </si>
  <si>
    <t>Total revenues</t>
  </si>
  <si>
    <t>Percent</t>
  </si>
  <si>
    <t>Credit Facility NRT 4.4%</t>
  </si>
  <si>
    <t>Credit Facility  RT  4.4%</t>
  </si>
  <si>
    <t>Credit Facility - NRT</t>
  </si>
  <si>
    <t>Credit Facility -   RT</t>
  </si>
  <si>
    <t>Shares</t>
  </si>
  <si>
    <t xml:space="preserve">$     </t>
  </si>
  <si>
    <t>Adjustments for ratios</t>
  </si>
  <si>
    <t xml:space="preserve">  Cash</t>
  </si>
  <si>
    <t>Q4</t>
  </si>
  <si>
    <t>LOC</t>
  </si>
  <si>
    <t>net debt</t>
  </si>
  <si>
    <t>convertible debentures</t>
  </si>
  <si>
    <t>Interest adj (timing)</t>
  </si>
  <si>
    <t>Net inc/(loss)-disc Ops</t>
  </si>
  <si>
    <t>Balancing adjustment</t>
  </si>
  <si>
    <t>Accumulated unpaid dividends - C &amp; D's</t>
  </si>
  <si>
    <t>Online - quarterly change (+/-)</t>
  </si>
  <si>
    <t>Print    - quarterly change (+/-)</t>
  </si>
  <si>
    <t>Preferred</t>
  </si>
  <si>
    <t>Yellow Media</t>
  </si>
  <si>
    <t>Revised: March 8, 2012</t>
  </si>
  <si>
    <t>Enter the changes in decimals</t>
  </si>
  <si>
    <t xml:space="preserve">  &lt;&lt;&lt;   Note declining margins</t>
  </si>
  <si>
    <t xml:space="preserve">EBITDA Total    </t>
  </si>
  <si>
    <t>Other</t>
  </si>
  <si>
    <t>Other finance charges</t>
  </si>
  <si>
    <t>Pension top-up</t>
  </si>
  <si>
    <t xml:space="preserve">Income Taxes </t>
  </si>
  <si>
    <t>Change in operating assets/liabilities</t>
  </si>
  <si>
    <t>new</t>
  </si>
  <si>
    <t>EBITDA  rate</t>
  </si>
  <si>
    <t>Revised: May 31, 2012</t>
  </si>
  <si>
    <t>Yellow Media - PRO-FORMA</t>
  </si>
  <si>
    <t>Q1</t>
  </si>
  <si>
    <t>OK</t>
  </si>
  <si>
    <t>Accumulated flow + Savings on debt purchased</t>
  </si>
  <si>
    <t>10% Savings on debt purchased at market</t>
  </si>
  <si>
    <t>G</t>
  </si>
  <si>
    <t>H</t>
  </si>
  <si>
    <t>Proforma assumptions:</t>
  </si>
  <si>
    <t>Revenue / EBITDA assumptions maintained (pessimistic view)</t>
  </si>
  <si>
    <t>A's / B's converted to common, dividend arrears cleared, and resumed for C's and D's</t>
  </si>
  <si>
    <t>NRT extended to 2014-Q1, RT extended to 2017, MTN debt repurchased at modest 10% savings.</t>
  </si>
  <si>
    <t>Revised: Aug 17, 2012</t>
  </si>
  <si>
    <t>Debt purchased at market - No RECAP</t>
  </si>
  <si>
    <t>Debt remaining</t>
  </si>
  <si>
    <t>Debt change</t>
  </si>
  <si>
    <t>Net Debt eliminated</t>
  </si>
  <si>
    <t>Dividend arrears paid, new $232.8 preferred @ 6.9%, common RS 26:1, new share replaces debt</t>
  </si>
  <si>
    <t>Common</t>
  </si>
  <si>
    <t>new 9%</t>
  </si>
  <si>
    <t>Modified Recap - Version 1 assumptions</t>
  </si>
  <si>
    <t>NRT retired in Feb 2013, RT cleared, new MTN @ 9%, $100 million payments begin 2018</t>
  </si>
  <si>
    <t>Modified Recap - Version 2 assumptions (A/B converted to common)</t>
  </si>
  <si>
    <t>15c annual dividends on common shares restored (on 78.6 million shares)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</si>
</sst>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&quot;$&quot;#,##0.00"/>
    <numFmt numFmtId="167" formatCode="#,##0.0"/>
    <numFmt numFmtId="168" formatCode="0.0%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.0;[Red]0.0"/>
    <numFmt numFmtId="173" formatCode="0.0_ ;[Red]\-0.0\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_ ;[Red]\-0\ 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 Black"/>
      <family val="2"/>
    </font>
    <font>
      <b/>
      <sz val="16"/>
      <name val="Arial"/>
      <family val="2"/>
    </font>
    <font>
      <sz val="9"/>
      <name val="Arial"/>
      <family val="0"/>
    </font>
    <font>
      <b/>
      <sz val="20"/>
      <name val="Arial Black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1"/>
      <color indexed="10"/>
      <name val="Arial"/>
      <family val="2"/>
    </font>
    <font>
      <sz val="13"/>
      <name val="Arial"/>
      <family val="0"/>
    </font>
    <font>
      <b/>
      <sz val="13"/>
      <color indexed="10"/>
      <name val="Arial"/>
      <family val="0"/>
    </font>
    <font>
      <b/>
      <sz val="13"/>
      <name val="Arial"/>
      <family val="0"/>
    </font>
    <font>
      <b/>
      <sz val="12"/>
      <name val="Arial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14"/>
      <color indexed="10"/>
      <name val="Tahoma"/>
      <family val="2"/>
    </font>
    <font>
      <b/>
      <sz val="14"/>
      <name val="Tahoma"/>
      <family val="2"/>
    </font>
    <font>
      <b/>
      <sz val="11"/>
      <name val="Arial"/>
      <family val="2"/>
    </font>
    <font>
      <sz val="11"/>
      <color indexed="21"/>
      <name val="Arial"/>
      <family val="2"/>
    </font>
    <font>
      <sz val="11"/>
      <name val="Arial"/>
      <family val="2"/>
    </font>
    <font>
      <b/>
      <u val="single"/>
      <sz val="12"/>
      <color indexed="10"/>
      <name val="Arial"/>
      <family val="2"/>
    </font>
    <font>
      <sz val="12"/>
      <name val="Arial"/>
      <family val="0"/>
    </font>
    <font>
      <b/>
      <u val="single"/>
      <sz val="16"/>
      <color indexed="10"/>
      <name val="Arial"/>
      <family val="2"/>
    </font>
    <font>
      <b/>
      <u val="single"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24" borderId="0" xfId="0" applyFont="1" applyFill="1" applyAlignment="1">
      <alignment horizontal="right"/>
    </xf>
    <xf numFmtId="0" fontId="2" fillId="25" borderId="0" xfId="0" applyFont="1" applyFill="1" applyAlignment="1">
      <alignment horizontal="right"/>
    </xf>
    <xf numFmtId="0" fontId="2" fillId="7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11" xfId="0" applyNumberFormat="1" applyFont="1" applyFill="1" applyBorder="1" applyAlignment="1">
      <alignment horizontal="right"/>
    </xf>
    <xf numFmtId="165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165" fontId="0" fillId="0" borderId="13" xfId="0" applyNumberForma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3" xfId="0" applyNumberFormat="1" applyBorder="1" applyAlignment="1">
      <alignment/>
    </xf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/>
    </xf>
    <xf numFmtId="167" fontId="2" fillId="0" borderId="1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right"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0" fontId="2" fillId="15" borderId="0" xfId="0" applyFont="1" applyFill="1" applyAlignment="1">
      <alignment/>
    </xf>
    <xf numFmtId="0" fontId="2" fillId="15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165" fontId="8" fillId="24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2" fontId="8" fillId="24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65" fontId="2" fillId="20" borderId="13" xfId="0" applyNumberFormat="1" applyFont="1" applyFill="1" applyBorder="1" applyAlignment="1">
      <alignment horizontal="right"/>
    </xf>
    <xf numFmtId="9" fontId="0" fillId="0" borderId="0" xfId="0" applyNumberFormat="1" applyFill="1" applyAlignment="1">
      <alignment horizontal="right"/>
    </xf>
    <xf numFmtId="9" fontId="0" fillId="0" borderId="13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right"/>
    </xf>
    <xf numFmtId="10" fontId="9" fillId="0" borderId="0" xfId="0" applyNumberFormat="1" applyFont="1" applyFill="1" applyAlignment="1">
      <alignment horizontal="right"/>
    </xf>
    <xf numFmtId="165" fontId="2" fillId="20" borderId="15" xfId="0" applyNumberFormat="1" applyFont="1" applyFill="1" applyBorder="1" applyAlignment="1">
      <alignment horizontal="right"/>
    </xf>
    <xf numFmtId="165" fontId="2" fillId="20" borderId="0" xfId="0" applyNumberFormat="1" applyFont="1" applyFill="1" applyBorder="1" applyAlignment="1">
      <alignment horizontal="right"/>
    </xf>
    <xf numFmtId="165" fontId="2" fillId="20" borderId="11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43" fontId="0" fillId="0" borderId="0" xfId="42" applyAlignment="1">
      <alignment/>
    </xf>
    <xf numFmtId="171" fontId="0" fillId="0" borderId="0" xfId="42" applyNumberFormat="1" applyAlignment="1">
      <alignment/>
    </xf>
    <xf numFmtId="0" fontId="2" fillId="7" borderId="10" xfId="0" applyFont="1" applyFill="1" applyBorder="1" applyAlignment="1">
      <alignment horizontal="right"/>
    </xf>
    <xf numFmtId="0" fontId="3" fillId="14" borderId="10" xfId="0" applyFont="1" applyFill="1" applyBorder="1" applyAlignment="1">
      <alignment/>
    </xf>
    <xf numFmtId="0" fontId="2" fillId="14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1" fontId="0" fillId="0" borderId="11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15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10" fontId="14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8" fontId="0" fillId="0" borderId="13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73" fontId="2" fillId="0" borderId="15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2" fillId="24" borderId="14" xfId="0" applyNumberFormat="1" applyFont="1" applyFill="1" applyBorder="1" applyAlignment="1">
      <alignment/>
    </xf>
    <xf numFmtId="173" fontId="2" fillId="24" borderId="0" xfId="0" applyNumberFormat="1" applyFont="1" applyFill="1" applyAlignment="1">
      <alignment/>
    </xf>
    <xf numFmtId="173" fontId="2" fillId="24" borderId="16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165" fontId="2" fillId="4" borderId="19" xfId="0" applyNumberFormat="1" applyFont="1" applyFill="1" applyBorder="1" applyAlignment="1">
      <alignment/>
    </xf>
    <xf numFmtId="165" fontId="2" fillId="4" borderId="20" xfId="0" applyNumberFormat="1" applyFont="1" applyFill="1" applyBorder="1" applyAlignment="1">
      <alignment/>
    </xf>
    <xf numFmtId="165" fontId="2" fillId="26" borderId="0" xfId="0" applyNumberFormat="1" applyFont="1" applyFill="1" applyAlignment="1">
      <alignment horizontal="right"/>
    </xf>
    <xf numFmtId="168" fontId="37" fillId="0" borderId="0" xfId="0" applyNumberFormat="1" applyFont="1" applyFill="1" applyBorder="1" applyAlignment="1">
      <alignment horizontal="left"/>
    </xf>
    <xf numFmtId="0" fontId="38" fillId="0" borderId="0" xfId="0" applyFont="1" applyAlignment="1">
      <alignment horizontal="right"/>
    </xf>
    <xf numFmtId="0" fontId="39" fillId="0" borderId="21" xfId="0" applyFont="1" applyBorder="1" applyAlignment="1">
      <alignment horizontal="left"/>
    </xf>
    <xf numFmtId="0" fontId="39" fillId="0" borderId="22" xfId="0" applyFont="1" applyBorder="1" applyAlignment="1">
      <alignment horizontal="right"/>
    </xf>
    <xf numFmtId="10" fontId="39" fillId="0" borderId="22" xfId="0" applyNumberFormat="1" applyFont="1" applyBorder="1" applyAlignment="1">
      <alignment horizontal="right"/>
    </xf>
    <xf numFmtId="10" fontId="39" fillId="0" borderId="23" xfId="0" applyNumberFormat="1" applyFont="1" applyBorder="1" applyAlignment="1">
      <alignment horizontal="right"/>
    </xf>
    <xf numFmtId="1" fontId="38" fillId="0" borderId="0" xfId="0" applyNumberFormat="1" applyFont="1" applyAlignment="1">
      <alignment horizontal="right"/>
    </xf>
    <xf numFmtId="164" fontId="38" fillId="0" borderId="0" xfId="0" applyNumberFormat="1" applyFont="1" applyAlignment="1">
      <alignment horizontal="right"/>
    </xf>
    <xf numFmtId="0" fontId="40" fillId="0" borderId="21" xfId="0" applyFont="1" applyBorder="1" applyAlignment="1">
      <alignment horizontal="left"/>
    </xf>
    <xf numFmtId="0" fontId="40" fillId="0" borderId="22" xfId="0" applyFont="1" applyBorder="1" applyAlignment="1">
      <alignment horizontal="right"/>
    </xf>
    <xf numFmtId="10" fontId="40" fillId="0" borderId="22" xfId="0" applyNumberFormat="1" applyFont="1" applyBorder="1" applyAlignment="1">
      <alignment horizontal="right"/>
    </xf>
    <xf numFmtId="10" fontId="40" fillId="0" borderId="23" xfId="0" applyNumberFormat="1" applyFont="1" applyBorder="1" applyAlignment="1">
      <alignment horizontal="right"/>
    </xf>
    <xf numFmtId="173" fontId="2" fillId="24" borderId="0" xfId="0" applyNumberFormat="1" applyFont="1" applyFill="1" applyBorder="1" applyAlignment="1">
      <alignment/>
    </xf>
    <xf numFmtId="165" fontId="2" fillId="4" borderId="0" xfId="0" applyNumberFormat="1" applyFont="1" applyFill="1" applyBorder="1" applyAlignment="1">
      <alignment/>
    </xf>
    <xf numFmtId="165" fontId="2" fillId="24" borderId="11" xfId="0" applyNumberFormat="1" applyFont="1" applyFill="1" applyBorder="1" applyAlignment="1">
      <alignment horizontal="right"/>
    </xf>
    <xf numFmtId="165" fontId="2" fillId="11" borderId="0" xfId="0" applyNumberFormat="1" applyFont="1" applyFill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9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/>
    </xf>
    <xf numFmtId="173" fontId="2" fillId="24" borderId="10" xfId="0" applyNumberFormat="1" applyFont="1" applyFill="1" applyBorder="1" applyAlignment="1">
      <alignment/>
    </xf>
    <xf numFmtId="0" fontId="2" fillId="24" borderId="12" xfId="0" applyFont="1" applyFill="1" applyBorder="1" applyAlignment="1">
      <alignment horizontal="right"/>
    </xf>
    <xf numFmtId="10" fontId="14" fillId="0" borderId="13" xfId="0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165" fontId="0" fillId="4" borderId="13" xfId="0" applyNumberFormat="1" applyFill="1" applyBorder="1" applyAlignment="1">
      <alignment horizontal="right"/>
    </xf>
    <xf numFmtId="10" fontId="0" fillId="4" borderId="13" xfId="0" applyNumberFormat="1" applyFill="1" applyBorder="1" applyAlignment="1">
      <alignment horizontal="right"/>
    </xf>
    <xf numFmtId="168" fontId="0" fillId="4" borderId="13" xfId="0" applyNumberFormat="1" applyFill="1" applyBorder="1" applyAlignment="1">
      <alignment horizontal="right"/>
    </xf>
    <xf numFmtId="10" fontId="9" fillId="4" borderId="13" xfId="0" applyNumberFormat="1" applyFont="1" applyFill="1" applyBorder="1" applyAlignment="1">
      <alignment horizontal="right"/>
    </xf>
    <xf numFmtId="165" fontId="2" fillId="4" borderId="13" xfId="0" applyNumberFormat="1" applyFont="1" applyFill="1" applyBorder="1" applyAlignment="1">
      <alignment horizontal="right"/>
    </xf>
    <xf numFmtId="168" fontId="2" fillId="4" borderId="13" xfId="0" applyNumberFormat="1" applyFont="1" applyFill="1" applyBorder="1" applyAlignment="1">
      <alignment horizontal="right"/>
    </xf>
    <xf numFmtId="165" fontId="0" fillId="4" borderId="14" xfId="0" applyNumberFormat="1" applyFill="1" applyBorder="1" applyAlignment="1">
      <alignment horizontal="right"/>
    </xf>
    <xf numFmtId="165" fontId="2" fillId="4" borderId="15" xfId="0" applyNumberFormat="1" applyFont="1" applyFill="1" applyBorder="1" applyAlignment="1">
      <alignment horizontal="right"/>
    </xf>
    <xf numFmtId="165" fontId="0" fillId="4" borderId="13" xfId="0" applyNumberFormat="1" applyFill="1" applyBorder="1" applyAlignment="1">
      <alignment/>
    </xf>
    <xf numFmtId="165" fontId="2" fillId="4" borderId="13" xfId="0" applyNumberFormat="1" applyFont="1" applyFill="1" applyBorder="1" applyAlignment="1">
      <alignment/>
    </xf>
    <xf numFmtId="173" fontId="2" fillId="4" borderId="15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1" fillId="4" borderId="13" xfId="0" applyFont="1" applyFill="1" applyBorder="1" applyAlignment="1">
      <alignment horizontal="center"/>
    </xf>
    <xf numFmtId="173" fontId="2" fillId="4" borderId="13" xfId="0" applyNumberFormat="1" applyFont="1" applyFill="1" applyBorder="1" applyAlignment="1">
      <alignment horizontal="right"/>
    </xf>
    <xf numFmtId="10" fontId="40" fillId="0" borderId="16" xfId="0" applyNumberFormat="1" applyFont="1" applyBorder="1" applyAlignment="1">
      <alignment horizontal="right"/>
    </xf>
    <xf numFmtId="10" fontId="39" fillId="0" borderId="16" xfId="0" applyNumberFormat="1" applyFont="1" applyBorder="1" applyAlignment="1">
      <alignment horizontal="right"/>
    </xf>
    <xf numFmtId="10" fontId="40" fillId="0" borderId="21" xfId="0" applyNumberFormat="1" applyFont="1" applyBorder="1" applyAlignment="1">
      <alignment horizontal="right"/>
    </xf>
    <xf numFmtId="10" fontId="39" fillId="0" borderId="21" xfId="0" applyNumberFormat="1" applyFont="1" applyBorder="1" applyAlignment="1">
      <alignment horizontal="right"/>
    </xf>
    <xf numFmtId="10" fontId="40" fillId="0" borderId="24" xfId="0" applyNumberFormat="1" applyFont="1" applyBorder="1" applyAlignment="1">
      <alignment horizontal="right"/>
    </xf>
    <xf numFmtId="10" fontId="39" fillId="0" borderId="24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5" fontId="2" fillId="20" borderId="25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73" fontId="2" fillId="0" borderId="11" xfId="0" applyNumberFormat="1" applyFont="1" applyFill="1" applyBorder="1" applyAlignment="1">
      <alignment/>
    </xf>
    <xf numFmtId="0" fontId="2" fillId="3" borderId="26" xfId="0" applyFont="1" applyFill="1" applyBorder="1" applyAlignment="1">
      <alignment horizontal="right"/>
    </xf>
    <xf numFmtId="10" fontId="39" fillId="0" borderId="27" xfId="0" applyNumberFormat="1" applyFont="1" applyBorder="1" applyAlignment="1">
      <alignment horizontal="right"/>
    </xf>
    <xf numFmtId="0" fontId="10" fillId="0" borderId="28" xfId="0" applyFont="1" applyBorder="1" applyAlignment="1">
      <alignment/>
    </xf>
    <xf numFmtId="0" fontId="41" fillId="4" borderId="29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165" fontId="0" fillId="4" borderId="29" xfId="0" applyNumberFormat="1" applyFill="1" applyBorder="1" applyAlignment="1">
      <alignment horizontal="right"/>
    </xf>
    <xf numFmtId="10" fontId="0" fillId="4" borderId="29" xfId="0" applyNumberFormat="1" applyFill="1" applyBorder="1" applyAlignment="1">
      <alignment horizontal="right"/>
    </xf>
    <xf numFmtId="168" fontId="0" fillId="4" borderId="29" xfId="0" applyNumberFormat="1" applyFill="1" applyBorder="1" applyAlignment="1">
      <alignment horizontal="right"/>
    </xf>
    <xf numFmtId="165" fontId="2" fillId="20" borderId="29" xfId="0" applyNumberFormat="1" applyFont="1" applyFill="1" applyBorder="1" applyAlignment="1">
      <alignment horizontal="right"/>
    </xf>
    <xf numFmtId="10" fontId="9" fillId="4" borderId="29" xfId="0" applyNumberFormat="1" applyFont="1" applyFill="1" applyBorder="1" applyAlignment="1">
      <alignment horizontal="right"/>
    </xf>
    <xf numFmtId="165" fontId="2" fillId="4" borderId="29" xfId="0" applyNumberFormat="1" applyFont="1" applyFill="1" applyBorder="1" applyAlignment="1">
      <alignment horizontal="right"/>
    </xf>
    <xf numFmtId="165" fontId="2" fillId="20" borderId="30" xfId="0" applyNumberFormat="1" applyFont="1" applyFill="1" applyBorder="1" applyAlignment="1">
      <alignment horizontal="right"/>
    </xf>
    <xf numFmtId="168" fontId="2" fillId="4" borderId="29" xfId="0" applyNumberFormat="1" applyFont="1" applyFill="1" applyBorder="1" applyAlignment="1">
      <alignment horizontal="right"/>
    </xf>
    <xf numFmtId="165" fontId="0" fillId="4" borderId="31" xfId="0" applyNumberFormat="1" applyFill="1" applyBorder="1" applyAlignment="1">
      <alignment horizontal="right"/>
    </xf>
    <xf numFmtId="165" fontId="2" fillId="4" borderId="30" xfId="0" applyNumberFormat="1" applyFont="1" applyFill="1" applyBorder="1" applyAlignment="1">
      <alignment horizontal="right"/>
    </xf>
    <xf numFmtId="165" fontId="0" fillId="4" borderId="29" xfId="0" applyNumberFormat="1" applyFill="1" applyBorder="1" applyAlignment="1">
      <alignment/>
    </xf>
    <xf numFmtId="173" fontId="2" fillId="4" borderId="30" xfId="0" applyNumberFormat="1" applyFont="1" applyFill="1" applyBorder="1" applyAlignment="1">
      <alignment/>
    </xf>
    <xf numFmtId="173" fontId="2" fillId="24" borderId="32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5" fontId="2" fillId="8" borderId="0" xfId="0" applyNumberFormat="1" applyFont="1" applyFill="1" applyAlignment="1">
      <alignment horizontal="right"/>
    </xf>
    <xf numFmtId="0" fontId="2" fillId="7" borderId="33" xfId="0" applyFont="1" applyFill="1" applyBorder="1" applyAlignment="1">
      <alignment/>
    </xf>
    <xf numFmtId="0" fontId="41" fillId="7" borderId="0" xfId="0" applyFont="1" applyFill="1" applyAlignment="1">
      <alignment horizontal="center"/>
    </xf>
    <xf numFmtId="0" fontId="41" fillId="7" borderId="33" xfId="0" applyFont="1" applyFill="1" applyBorder="1" applyAlignment="1">
      <alignment/>
    </xf>
    <xf numFmtId="173" fontId="41" fillId="7" borderId="33" xfId="0" applyNumberFormat="1" applyFont="1" applyFill="1" applyBorder="1" applyAlignment="1">
      <alignment/>
    </xf>
    <xf numFmtId="165" fontId="47" fillId="8" borderId="0" xfId="0" applyNumberFormat="1" applyFont="1" applyFill="1" applyAlignment="1">
      <alignment/>
    </xf>
    <xf numFmtId="165" fontId="47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73" fontId="41" fillId="0" borderId="0" xfId="0" applyNumberFormat="1" applyFont="1" applyFill="1" applyAlignment="1">
      <alignment/>
    </xf>
    <xf numFmtId="173" fontId="41" fillId="0" borderId="0" xfId="0" applyNumberFormat="1" applyFont="1" applyFill="1" applyBorder="1" applyAlignment="1">
      <alignment/>
    </xf>
    <xf numFmtId="0" fontId="4" fillId="24" borderId="0" xfId="0" applyFont="1" applyFill="1" applyAlignment="1">
      <alignment horizontal="left"/>
    </xf>
    <xf numFmtId="165" fontId="8" fillId="8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65" fontId="50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25" borderId="18" xfId="0" applyFont="1" applyFill="1" applyBorder="1" applyAlignment="1">
      <alignment/>
    </xf>
    <xf numFmtId="178" fontId="41" fillId="25" borderId="19" xfId="0" applyNumberFormat="1" applyFont="1" applyFill="1" applyBorder="1" applyAlignment="1">
      <alignment/>
    </xf>
    <xf numFmtId="178" fontId="41" fillId="25" borderId="20" xfId="0" applyNumberFormat="1" applyFont="1" applyFill="1" applyBorder="1" applyAlignment="1">
      <alignment/>
    </xf>
    <xf numFmtId="1" fontId="41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1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2" fillId="25" borderId="0" xfId="0" applyFont="1" applyFill="1" applyAlignment="1">
      <alignment horizontal="left"/>
    </xf>
    <xf numFmtId="0" fontId="41" fillId="0" borderId="18" xfId="0" applyFont="1" applyFill="1" applyBorder="1" applyAlignment="1">
      <alignment/>
    </xf>
    <xf numFmtId="0" fontId="0" fillId="0" borderId="0" xfId="0" applyAlignment="1">
      <alignment horizontal="left"/>
    </xf>
    <xf numFmtId="0" fontId="41" fillId="24" borderId="0" xfId="0" applyFont="1" applyFill="1" applyAlignment="1">
      <alignment horizontal="center"/>
    </xf>
    <xf numFmtId="0" fontId="41" fillId="24" borderId="0" xfId="0" applyFont="1" applyFill="1" applyAlignment="1">
      <alignment/>
    </xf>
    <xf numFmtId="0" fontId="41" fillId="24" borderId="0" xfId="0" applyFont="1" applyFill="1" applyBorder="1" applyAlignment="1">
      <alignment/>
    </xf>
    <xf numFmtId="173" fontId="41" fillId="24" borderId="34" xfId="0" applyNumberFormat="1" applyFont="1" applyFill="1" applyBorder="1" applyAlignment="1">
      <alignment/>
    </xf>
    <xf numFmtId="1" fontId="2" fillId="2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2" fillId="7" borderId="0" xfId="0" applyNumberFormat="1" applyFont="1" applyFill="1" applyAlignment="1">
      <alignment horizontal="right"/>
    </xf>
    <xf numFmtId="165" fontId="0" fillId="7" borderId="0" xfId="0" applyNumberFormat="1" applyFill="1" applyAlignment="1">
      <alignment horizontal="right"/>
    </xf>
    <xf numFmtId="165" fontId="0" fillId="7" borderId="10" xfId="0" applyNumberFormat="1" applyFill="1" applyBorder="1" applyAlignment="1">
      <alignment horizontal="right"/>
    </xf>
    <xf numFmtId="165" fontId="0" fillId="7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workbookViewId="0" topLeftCell="A1">
      <selection activeCell="F62" sqref="F62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12" ht="31.5">
      <c r="B1" s="104" t="s">
        <v>119</v>
      </c>
      <c r="G1" s="89"/>
      <c r="H1" s="58"/>
      <c r="I1" s="57"/>
      <c r="J1" s="58" t="s">
        <v>95</v>
      </c>
      <c r="K1" s="57"/>
      <c r="L1" s="57"/>
    </row>
    <row r="2" spans="1:25" s="89" customFormat="1" ht="10.5" customHeight="1">
      <c r="A2" s="29"/>
      <c r="B2" s="88"/>
      <c r="H2" s="90"/>
      <c r="X2" s="91"/>
      <c r="Y2" s="92"/>
    </row>
    <row r="3" spans="2:6" ht="20.25">
      <c r="B3" s="105" t="s">
        <v>97</v>
      </c>
      <c r="C3" s="86"/>
      <c r="D3" s="176"/>
      <c r="E3" s="95"/>
      <c r="F3" s="87"/>
    </row>
    <row r="4" spans="1:25" s="18" customFormat="1" ht="13.5" thickBot="1">
      <c r="A4" s="16"/>
      <c r="C4" s="135"/>
      <c r="D4" s="166" t="s">
        <v>18</v>
      </c>
      <c r="E4" s="41" t="s">
        <v>0</v>
      </c>
      <c r="F4" s="19" t="s">
        <v>1</v>
      </c>
      <c r="G4" s="19" t="s">
        <v>2</v>
      </c>
      <c r="H4" s="19" t="s">
        <v>3</v>
      </c>
      <c r="I4" s="20" t="s">
        <v>4</v>
      </c>
      <c r="J4" s="20" t="s">
        <v>5</v>
      </c>
      <c r="K4" s="20" t="s">
        <v>6</v>
      </c>
      <c r="L4" s="20" t="s">
        <v>7</v>
      </c>
      <c r="M4" s="21" t="s">
        <v>8</v>
      </c>
      <c r="N4" s="21" t="s">
        <v>9</v>
      </c>
      <c r="O4" s="21" t="s">
        <v>10</v>
      </c>
      <c r="P4" s="21" t="s">
        <v>11</v>
      </c>
      <c r="Q4" s="18">
        <v>2015</v>
      </c>
      <c r="R4" s="18">
        <v>2016</v>
      </c>
      <c r="S4" s="18">
        <v>2017</v>
      </c>
      <c r="T4" s="18">
        <v>2018</v>
      </c>
      <c r="U4" s="18">
        <v>2019</v>
      </c>
      <c r="V4" s="18">
        <v>2020</v>
      </c>
      <c r="W4" s="16"/>
      <c r="X4" s="23"/>
      <c r="Y4" s="22"/>
    </row>
    <row r="5" spans="2:25" s="120" customFormat="1" ht="17.25" thickBot="1">
      <c r="B5" s="127" t="s">
        <v>92</v>
      </c>
      <c r="C5" s="128"/>
      <c r="D5" s="177"/>
      <c r="E5" s="174"/>
      <c r="F5" s="129"/>
      <c r="G5" s="129">
        <v>0.0225</v>
      </c>
      <c r="H5" s="130">
        <f aca="true" t="shared" si="0" ref="H5:O6">+G5</f>
        <v>0.0225</v>
      </c>
      <c r="I5" s="129">
        <f t="shared" si="0"/>
        <v>0.0225</v>
      </c>
      <c r="J5" s="129">
        <f t="shared" si="0"/>
        <v>0.0225</v>
      </c>
      <c r="K5" s="129">
        <f t="shared" si="0"/>
        <v>0.0225</v>
      </c>
      <c r="L5" s="130">
        <f t="shared" si="0"/>
        <v>0.0225</v>
      </c>
      <c r="M5" s="172">
        <f t="shared" si="0"/>
        <v>0.0225</v>
      </c>
      <c r="N5" s="129">
        <f t="shared" si="0"/>
        <v>0.0225</v>
      </c>
      <c r="O5" s="129">
        <f t="shared" si="0"/>
        <v>0.0225</v>
      </c>
      <c r="P5" s="130">
        <f>+O5</f>
        <v>0.0225</v>
      </c>
      <c r="Q5" s="170">
        <v>0.15</v>
      </c>
      <c r="R5" s="170">
        <v>0.15</v>
      </c>
      <c r="S5" s="130">
        <v>0.15</v>
      </c>
      <c r="T5" s="130">
        <v>0.15</v>
      </c>
      <c r="U5" s="130">
        <v>0.15</v>
      </c>
      <c r="V5" s="130">
        <v>0.15</v>
      </c>
      <c r="X5" s="125"/>
      <c r="Y5" s="126"/>
    </row>
    <row r="6" spans="2:25" s="120" customFormat="1" ht="17.25" thickBot="1">
      <c r="B6" s="121" t="s">
        <v>93</v>
      </c>
      <c r="C6" s="122"/>
      <c r="D6" s="122"/>
      <c r="E6" s="171"/>
      <c r="F6" s="189"/>
      <c r="G6" s="123">
        <v>-0.044</v>
      </c>
      <c r="H6" s="124">
        <f t="shared" si="0"/>
        <v>-0.044</v>
      </c>
      <c r="I6" s="173">
        <f t="shared" si="0"/>
        <v>-0.044</v>
      </c>
      <c r="J6" s="123">
        <f t="shared" si="0"/>
        <v>-0.044</v>
      </c>
      <c r="K6" s="123">
        <f t="shared" si="0"/>
        <v>-0.044</v>
      </c>
      <c r="L6" s="124">
        <f t="shared" si="0"/>
        <v>-0.044</v>
      </c>
      <c r="M6" s="173">
        <f t="shared" si="0"/>
        <v>-0.044</v>
      </c>
      <c r="N6" s="123">
        <f t="shared" si="0"/>
        <v>-0.044</v>
      </c>
      <c r="O6" s="123">
        <f t="shared" si="0"/>
        <v>-0.044</v>
      </c>
      <c r="P6" s="124">
        <f>+O6</f>
        <v>-0.044</v>
      </c>
      <c r="Q6" s="171">
        <v>-0.15</v>
      </c>
      <c r="R6" s="171">
        <v>-0.15</v>
      </c>
      <c r="S6" s="124">
        <v>-0.1</v>
      </c>
      <c r="T6" s="124">
        <v>-0.05</v>
      </c>
      <c r="U6" s="124">
        <v>0</v>
      </c>
      <c r="V6" s="124">
        <v>0</v>
      </c>
      <c r="X6" s="125"/>
      <c r="Y6" s="126"/>
    </row>
    <row r="7" spans="2:6" ht="20.25">
      <c r="B7" s="85"/>
      <c r="C7" s="86"/>
      <c r="D7" s="86"/>
      <c r="E7" s="95"/>
      <c r="F7" s="190"/>
    </row>
    <row r="8" spans="1:25" s="15" customFormat="1" ht="15.75">
      <c r="A8" s="16"/>
      <c r="D8" s="146"/>
      <c r="E8" s="181"/>
      <c r="F8" s="191" t="s">
        <v>53</v>
      </c>
      <c r="X8" s="23"/>
      <c r="Y8" s="22"/>
    </row>
    <row r="9" spans="1:25" s="18" customFormat="1" ht="12.75">
      <c r="A9" s="16"/>
      <c r="C9" s="135" t="s">
        <v>34</v>
      </c>
      <c r="D9" s="166" t="s">
        <v>18</v>
      </c>
      <c r="E9" s="188" t="s">
        <v>0</v>
      </c>
      <c r="F9" s="192" t="s">
        <v>1</v>
      </c>
      <c r="G9" s="19" t="s">
        <v>2</v>
      </c>
      <c r="H9" s="19" t="s">
        <v>3</v>
      </c>
      <c r="I9" s="20" t="s">
        <v>4</v>
      </c>
      <c r="J9" s="20" t="s">
        <v>5</v>
      </c>
      <c r="K9" s="20" t="s">
        <v>6</v>
      </c>
      <c r="L9" s="20" t="s">
        <v>7</v>
      </c>
      <c r="M9" s="21" t="s">
        <v>8</v>
      </c>
      <c r="N9" s="21" t="s">
        <v>9</v>
      </c>
      <c r="O9" s="21" t="s">
        <v>10</v>
      </c>
      <c r="P9" s="21" t="s">
        <v>11</v>
      </c>
      <c r="Q9" s="18">
        <v>2015</v>
      </c>
      <c r="R9" s="18">
        <v>2016</v>
      </c>
      <c r="S9" s="18">
        <v>2017</v>
      </c>
      <c r="T9" s="18">
        <v>2018</v>
      </c>
      <c r="U9" s="18">
        <v>2019</v>
      </c>
      <c r="V9" s="18">
        <v>2020</v>
      </c>
      <c r="W9" s="16" t="s">
        <v>43</v>
      </c>
      <c r="X9" s="23"/>
      <c r="Y9" s="22"/>
    </row>
    <row r="10" spans="1:25" s="2" customFormat="1" ht="12.75">
      <c r="A10" s="29"/>
      <c r="B10" s="48" t="s">
        <v>54</v>
      </c>
      <c r="C10" s="136"/>
      <c r="D10" s="140"/>
      <c r="E10" s="140"/>
      <c r="F10" s="193"/>
      <c r="X10" s="9"/>
      <c r="Y10" s="11"/>
    </row>
    <row r="11" spans="1:25" s="2" customFormat="1" ht="12.75">
      <c r="A11" s="29"/>
      <c r="B11" s="94"/>
      <c r="C11" s="136"/>
      <c r="D11" s="140"/>
      <c r="E11" s="140"/>
      <c r="F11" s="193"/>
      <c r="X11" s="9"/>
      <c r="Y11" s="11"/>
    </row>
    <row r="12" spans="1:25" s="2" customFormat="1" ht="12.75">
      <c r="A12" s="29"/>
      <c r="B12" s="65" t="s">
        <v>67</v>
      </c>
      <c r="C12" s="136"/>
      <c r="D12" s="148">
        <v>90</v>
      </c>
      <c r="E12" s="148">
        <v>85.9</v>
      </c>
      <c r="F12" s="194">
        <v>89.7</v>
      </c>
      <c r="G12" s="12">
        <f aca="true" t="shared" si="1" ref="G12:P12">+F12*(1+G13)</f>
        <v>91.71825</v>
      </c>
      <c r="H12" s="12">
        <f t="shared" si="1"/>
        <v>93.781910625</v>
      </c>
      <c r="I12" s="12">
        <f t="shared" si="1"/>
        <v>95.89200361406249</v>
      </c>
      <c r="J12" s="12">
        <f t="shared" si="1"/>
        <v>98.0495736953789</v>
      </c>
      <c r="K12" s="12">
        <f t="shared" si="1"/>
        <v>100.25568910352492</v>
      </c>
      <c r="L12" s="12">
        <f t="shared" si="1"/>
        <v>102.51144210835422</v>
      </c>
      <c r="M12" s="12">
        <f t="shared" si="1"/>
        <v>104.81794955579218</v>
      </c>
      <c r="N12" s="12">
        <f t="shared" si="1"/>
        <v>107.1763534207975</v>
      </c>
      <c r="O12" s="12">
        <f t="shared" si="1"/>
        <v>109.58782137276543</v>
      </c>
      <c r="P12" s="12">
        <f t="shared" si="1"/>
        <v>112.05354735365265</v>
      </c>
      <c r="Q12" s="12">
        <f>+P12*4</f>
        <v>448.2141894146106</v>
      </c>
      <c r="R12" s="12">
        <f>+Q12*(1+R13)</f>
        <v>515.4463178268021</v>
      </c>
      <c r="S12" s="12">
        <f>+R12*(1+S13)</f>
        <v>592.7632655008224</v>
      </c>
      <c r="T12" s="12">
        <f>+S12*(1+T13)</f>
        <v>681.6777553259457</v>
      </c>
      <c r="U12" s="12">
        <f>+T12*(1+U13)</f>
        <v>783.9294186248375</v>
      </c>
      <c r="V12" s="12">
        <f>+U12*(1+V13)</f>
        <v>901.518831418563</v>
      </c>
      <c r="X12" s="9"/>
      <c r="Y12" s="11"/>
    </row>
    <row r="13" spans="1:25" s="2" customFormat="1" ht="12.75">
      <c r="A13" s="29"/>
      <c r="B13" s="66" t="s">
        <v>70</v>
      </c>
      <c r="C13" s="137"/>
      <c r="D13" s="137"/>
      <c r="E13" s="182"/>
      <c r="F13" s="195"/>
      <c r="G13" s="70">
        <f aca="true" t="shared" si="2" ref="G13:R13">+G5</f>
        <v>0.0225</v>
      </c>
      <c r="H13" s="70">
        <f t="shared" si="2"/>
        <v>0.0225</v>
      </c>
      <c r="I13" s="70">
        <f t="shared" si="2"/>
        <v>0.0225</v>
      </c>
      <c r="J13" s="70">
        <f t="shared" si="2"/>
        <v>0.0225</v>
      </c>
      <c r="K13" s="70">
        <f t="shared" si="2"/>
        <v>0.0225</v>
      </c>
      <c r="L13" s="70">
        <f t="shared" si="2"/>
        <v>0.0225</v>
      </c>
      <c r="M13" s="70">
        <f t="shared" si="2"/>
        <v>0.0225</v>
      </c>
      <c r="N13" s="70">
        <f t="shared" si="2"/>
        <v>0.0225</v>
      </c>
      <c r="O13" s="70">
        <f t="shared" si="2"/>
        <v>0.0225</v>
      </c>
      <c r="P13" s="70">
        <f t="shared" si="2"/>
        <v>0.0225</v>
      </c>
      <c r="Q13" s="70">
        <f t="shared" si="2"/>
        <v>0.15</v>
      </c>
      <c r="R13" s="70">
        <f t="shared" si="2"/>
        <v>0.15</v>
      </c>
      <c r="S13" s="70">
        <f>+S5</f>
        <v>0.15</v>
      </c>
      <c r="T13" s="70">
        <f>+T5</f>
        <v>0.15</v>
      </c>
      <c r="U13" s="70">
        <f>+U5</f>
        <v>0.15</v>
      </c>
      <c r="V13" s="70">
        <f>+V5</f>
        <v>0.15</v>
      </c>
      <c r="X13" s="9"/>
      <c r="Y13" s="11"/>
    </row>
    <row r="14" spans="1:22" s="102" customFormat="1" ht="12.75">
      <c r="A14" s="100"/>
      <c r="B14" s="101" t="s">
        <v>106</v>
      </c>
      <c r="C14" s="98"/>
      <c r="D14" s="98">
        <v>0.394</v>
      </c>
      <c r="E14" s="98">
        <v>0.4</v>
      </c>
      <c r="F14" s="196">
        <f aca="true" t="shared" si="3" ref="F14:R14">+E14</f>
        <v>0.4</v>
      </c>
      <c r="G14" s="102">
        <f t="shared" si="3"/>
        <v>0.4</v>
      </c>
      <c r="H14" s="102">
        <f t="shared" si="3"/>
        <v>0.4</v>
      </c>
      <c r="I14" s="102">
        <f t="shared" si="3"/>
        <v>0.4</v>
      </c>
      <c r="J14" s="102">
        <f t="shared" si="3"/>
        <v>0.4</v>
      </c>
      <c r="K14" s="102">
        <f t="shared" si="3"/>
        <v>0.4</v>
      </c>
      <c r="L14" s="102">
        <f t="shared" si="3"/>
        <v>0.4</v>
      </c>
      <c r="M14" s="102">
        <f t="shared" si="3"/>
        <v>0.4</v>
      </c>
      <c r="N14" s="102">
        <f t="shared" si="3"/>
        <v>0.4</v>
      </c>
      <c r="O14" s="102">
        <f t="shared" si="3"/>
        <v>0.4</v>
      </c>
      <c r="P14" s="102">
        <f t="shared" si="3"/>
        <v>0.4</v>
      </c>
      <c r="Q14" s="102">
        <f t="shared" si="3"/>
        <v>0.4</v>
      </c>
      <c r="R14" s="102">
        <f t="shared" si="3"/>
        <v>0.4</v>
      </c>
      <c r="S14" s="102">
        <f>+R14</f>
        <v>0.4</v>
      </c>
      <c r="T14" s="102">
        <f>+S14</f>
        <v>0.4</v>
      </c>
      <c r="U14" s="102">
        <f>+T14</f>
        <v>0.4</v>
      </c>
      <c r="V14" s="102">
        <f>+U14</f>
        <v>0.4</v>
      </c>
    </row>
    <row r="15" spans="1:25" s="2" customFormat="1" ht="12.75">
      <c r="A15" s="29"/>
      <c r="B15" s="25" t="s">
        <v>69</v>
      </c>
      <c r="C15" s="136"/>
      <c r="D15" s="73">
        <f>+D12*D14</f>
        <v>35.46</v>
      </c>
      <c r="E15" s="73">
        <f>+E12*E14</f>
        <v>34.36000000000001</v>
      </c>
      <c r="F15" s="197">
        <f aca="true" t="shared" si="4" ref="F15:R15">+F12*F14</f>
        <v>35.88</v>
      </c>
      <c r="G15" s="73">
        <f t="shared" si="4"/>
        <v>36.6873</v>
      </c>
      <c r="H15" s="73">
        <f t="shared" si="4"/>
        <v>37.51276425</v>
      </c>
      <c r="I15" s="73">
        <f t="shared" si="4"/>
        <v>38.356801445624995</v>
      </c>
      <c r="J15" s="73">
        <f t="shared" si="4"/>
        <v>39.21982947815156</v>
      </c>
      <c r="K15" s="73">
        <f t="shared" si="4"/>
        <v>40.10227564140997</v>
      </c>
      <c r="L15" s="73">
        <f t="shared" si="4"/>
        <v>41.00457684334169</v>
      </c>
      <c r="M15" s="73">
        <f t="shared" si="4"/>
        <v>41.92717982231687</v>
      </c>
      <c r="N15" s="73">
        <f t="shared" si="4"/>
        <v>42.870541368319</v>
      </c>
      <c r="O15" s="73">
        <f t="shared" si="4"/>
        <v>43.83512854910617</v>
      </c>
      <c r="P15" s="73">
        <f t="shared" si="4"/>
        <v>44.82141894146106</v>
      </c>
      <c r="Q15" s="73">
        <f t="shared" si="4"/>
        <v>179.28567576584425</v>
      </c>
      <c r="R15" s="73">
        <f t="shared" si="4"/>
        <v>206.17852713072085</v>
      </c>
      <c r="S15" s="73">
        <f>+S12*S14</f>
        <v>237.10530620032898</v>
      </c>
      <c r="T15" s="73">
        <f>+T12*T14</f>
        <v>272.6711021303783</v>
      </c>
      <c r="U15" s="73">
        <f>+U12*U14</f>
        <v>313.571767449935</v>
      </c>
      <c r="V15" s="73">
        <f>+V12*V14</f>
        <v>360.6075325674252</v>
      </c>
      <c r="X15" s="9"/>
      <c r="Y15" s="11"/>
    </row>
    <row r="16" spans="1:25" s="2" customFormat="1" ht="12.75">
      <c r="A16" s="29"/>
      <c r="B16" s="65"/>
      <c r="C16" s="136"/>
      <c r="D16" s="148"/>
      <c r="E16" s="148"/>
      <c r="F16" s="19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29"/>
      <c r="B17" s="65" t="s">
        <v>68</v>
      </c>
      <c r="C17" s="136"/>
      <c r="D17" s="148">
        <v>223.3</v>
      </c>
      <c r="E17" s="148">
        <f>+E22-E12</f>
        <v>203.20000000000002</v>
      </c>
      <c r="F17" s="194">
        <f>+F22-F12</f>
        <v>196.8</v>
      </c>
      <c r="G17" s="12">
        <f aca="true" t="shared" si="5" ref="G17:R17">+F17*(1+G18)</f>
        <v>188.1408</v>
      </c>
      <c r="H17" s="12">
        <f t="shared" si="5"/>
        <v>179.8626048</v>
      </c>
      <c r="I17" s="12">
        <f t="shared" si="5"/>
        <v>171.9486501888</v>
      </c>
      <c r="J17" s="12">
        <f t="shared" si="5"/>
        <v>164.3829095804928</v>
      </c>
      <c r="K17" s="12">
        <f t="shared" si="5"/>
        <v>157.1500615589511</v>
      </c>
      <c r="L17" s="12">
        <f t="shared" si="5"/>
        <v>150.23545885035725</v>
      </c>
      <c r="M17" s="12">
        <f t="shared" si="5"/>
        <v>143.62509866094152</v>
      </c>
      <c r="N17" s="12">
        <f t="shared" si="5"/>
        <v>137.3055943198601</v>
      </c>
      <c r="O17" s="12">
        <f t="shared" si="5"/>
        <v>131.26414816978624</v>
      </c>
      <c r="P17" s="12">
        <f t="shared" si="5"/>
        <v>125.48852565031564</v>
      </c>
      <c r="Q17" s="12">
        <f>+P17*4</f>
        <v>501.95410260126255</v>
      </c>
      <c r="R17" s="12">
        <f t="shared" si="5"/>
        <v>426.6609872110732</v>
      </c>
      <c r="S17" s="12">
        <f>+R17*(1+S18)</f>
        <v>383.9948884899659</v>
      </c>
      <c r="T17" s="12">
        <f>+S17*(1+T18)</f>
        <v>364.7951440654676</v>
      </c>
      <c r="U17" s="12">
        <f>+T17*(1+U18)</f>
        <v>364.7951440654676</v>
      </c>
      <c r="V17" s="12">
        <f>+U17*(1+V18)</f>
        <v>364.7951440654676</v>
      </c>
      <c r="X17" s="9"/>
      <c r="Y17" s="11"/>
    </row>
    <row r="18" spans="1:25" s="2" customFormat="1" ht="12.75">
      <c r="A18" s="29"/>
      <c r="B18" s="66" t="s">
        <v>73</v>
      </c>
      <c r="C18" s="136"/>
      <c r="D18" s="148"/>
      <c r="E18" s="183"/>
      <c r="F18" s="198"/>
      <c r="G18" s="71">
        <f aca="true" t="shared" si="6" ref="G18:R18">+G6</f>
        <v>-0.044</v>
      </c>
      <c r="H18" s="71">
        <f t="shared" si="6"/>
        <v>-0.044</v>
      </c>
      <c r="I18" s="71">
        <f t="shared" si="6"/>
        <v>-0.044</v>
      </c>
      <c r="J18" s="71">
        <f t="shared" si="6"/>
        <v>-0.044</v>
      </c>
      <c r="K18" s="71">
        <f t="shared" si="6"/>
        <v>-0.044</v>
      </c>
      <c r="L18" s="71">
        <f t="shared" si="6"/>
        <v>-0.044</v>
      </c>
      <c r="M18" s="71">
        <f t="shared" si="6"/>
        <v>-0.044</v>
      </c>
      <c r="N18" s="71">
        <f t="shared" si="6"/>
        <v>-0.044</v>
      </c>
      <c r="O18" s="71">
        <f t="shared" si="6"/>
        <v>-0.044</v>
      </c>
      <c r="P18" s="71">
        <f t="shared" si="6"/>
        <v>-0.044</v>
      </c>
      <c r="Q18" s="71">
        <f t="shared" si="6"/>
        <v>-0.15</v>
      </c>
      <c r="R18" s="71">
        <f t="shared" si="6"/>
        <v>-0.15</v>
      </c>
      <c r="S18" s="71">
        <f>+S6</f>
        <v>-0.1</v>
      </c>
      <c r="T18" s="71">
        <f>+T6</f>
        <v>-0.05</v>
      </c>
      <c r="U18" s="71">
        <f>+U6</f>
        <v>0</v>
      </c>
      <c r="V18" s="71">
        <f>+V6</f>
        <v>0</v>
      </c>
      <c r="X18" s="9"/>
      <c r="Y18" s="11"/>
    </row>
    <row r="19" spans="1:23" s="102" customFormat="1" ht="15">
      <c r="A19" s="100"/>
      <c r="B19" s="101" t="s">
        <v>106</v>
      </c>
      <c r="C19" s="138"/>
      <c r="D19" s="98">
        <v>0.5</v>
      </c>
      <c r="E19" s="98">
        <v>0.55</v>
      </c>
      <c r="F19" s="196">
        <v>0.56</v>
      </c>
      <c r="G19" s="98">
        <v>0.545</v>
      </c>
      <c r="H19" s="98">
        <v>0.54</v>
      </c>
      <c r="I19" s="98">
        <v>0.54</v>
      </c>
      <c r="J19" s="98">
        <v>0.535</v>
      </c>
      <c r="K19" s="98">
        <v>0.53</v>
      </c>
      <c r="L19" s="98">
        <v>0.53</v>
      </c>
      <c r="M19" s="98">
        <v>0.53</v>
      </c>
      <c r="N19" s="98">
        <v>0.53</v>
      </c>
      <c r="O19" s="98">
        <v>0.53</v>
      </c>
      <c r="P19" s="98">
        <v>0.53</v>
      </c>
      <c r="Q19" s="98">
        <v>0.53</v>
      </c>
      <c r="R19" s="98">
        <v>0.53</v>
      </c>
      <c r="S19" s="98">
        <v>0.53</v>
      </c>
      <c r="T19" s="98">
        <v>0.53</v>
      </c>
      <c r="U19" s="98">
        <v>0.53</v>
      </c>
      <c r="V19" s="98">
        <v>0.53</v>
      </c>
      <c r="W19" s="119"/>
    </row>
    <row r="20" spans="1:25" s="2" customFormat="1" ht="12.75">
      <c r="A20" s="29"/>
      <c r="B20" s="25" t="s">
        <v>71</v>
      </c>
      <c r="C20" s="136"/>
      <c r="D20" s="73">
        <f>+D17*D19</f>
        <v>111.65</v>
      </c>
      <c r="E20" s="73">
        <f>+E23-E15</f>
        <v>111.63999999999999</v>
      </c>
      <c r="F20" s="197">
        <f>+F23-F15</f>
        <v>109.32</v>
      </c>
      <c r="G20" s="73">
        <f aca="true" t="shared" si="7" ref="G20:R20">+G17*G19</f>
        <v>102.53673600000002</v>
      </c>
      <c r="H20" s="73">
        <f t="shared" si="7"/>
        <v>97.12580659200002</v>
      </c>
      <c r="I20" s="73">
        <f t="shared" si="7"/>
        <v>92.85227110195201</v>
      </c>
      <c r="J20" s="73">
        <f t="shared" si="7"/>
        <v>87.94485662556365</v>
      </c>
      <c r="K20" s="73">
        <f t="shared" si="7"/>
        <v>83.2895326262441</v>
      </c>
      <c r="L20" s="73">
        <f t="shared" si="7"/>
        <v>79.62479319068935</v>
      </c>
      <c r="M20" s="73">
        <f t="shared" si="7"/>
        <v>76.12130229029901</v>
      </c>
      <c r="N20" s="73">
        <f t="shared" si="7"/>
        <v>72.77196498952586</v>
      </c>
      <c r="O20" s="73">
        <f t="shared" si="7"/>
        <v>69.5699985299867</v>
      </c>
      <c r="P20" s="73">
        <f t="shared" si="7"/>
        <v>66.50891859466729</v>
      </c>
      <c r="Q20" s="73">
        <f t="shared" si="7"/>
        <v>266.03567437866917</v>
      </c>
      <c r="R20" s="73">
        <f t="shared" si="7"/>
        <v>226.1303232218688</v>
      </c>
      <c r="S20" s="73">
        <f>+S17*S19</f>
        <v>203.51729089968194</v>
      </c>
      <c r="T20" s="73">
        <f>+T17*T19</f>
        <v>193.34142635469783</v>
      </c>
      <c r="U20" s="73">
        <f>+U17*U19</f>
        <v>193.34142635469783</v>
      </c>
      <c r="V20" s="73">
        <f>+V17*V19</f>
        <v>193.34142635469783</v>
      </c>
      <c r="X20" s="9"/>
      <c r="Y20" s="11"/>
    </row>
    <row r="21" spans="1:25" s="2" customFormat="1" ht="12.75">
      <c r="A21" s="29"/>
      <c r="B21" s="66"/>
      <c r="C21" s="136"/>
      <c r="D21" s="36"/>
      <c r="E21" s="36"/>
      <c r="F21" s="199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X21" s="9"/>
      <c r="Y21" s="11"/>
    </row>
    <row r="22" spans="1:25" s="2" customFormat="1" ht="12.75">
      <c r="A22" s="29"/>
      <c r="B22" s="66" t="s">
        <v>74</v>
      </c>
      <c r="C22" s="136"/>
      <c r="D22" s="148">
        <f>+D12+D17</f>
        <v>313.3</v>
      </c>
      <c r="E22" s="148">
        <v>289.1</v>
      </c>
      <c r="F22" s="194">
        <v>286.5</v>
      </c>
      <c r="G22" s="12">
        <f aca="true" t="shared" si="8" ref="G22:R22">+G12+G17</f>
        <v>279.85905</v>
      </c>
      <c r="H22" s="12">
        <f t="shared" si="8"/>
        <v>273.644515425</v>
      </c>
      <c r="I22" s="12">
        <f t="shared" si="8"/>
        <v>267.8406538028625</v>
      </c>
      <c r="J22" s="12">
        <f t="shared" si="8"/>
        <v>262.4324832758717</v>
      </c>
      <c r="K22" s="12">
        <f t="shared" si="8"/>
        <v>257.405750662476</v>
      </c>
      <c r="L22" s="12">
        <f t="shared" si="8"/>
        <v>252.74690095871148</v>
      </c>
      <c r="M22" s="12">
        <f t="shared" si="8"/>
        <v>248.4430482167337</v>
      </c>
      <c r="N22" s="12">
        <f t="shared" si="8"/>
        <v>244.48194774065757</v>
      </c>
      <c r="O22" s="12">
        <f t="shared" si="8"/>
        <v>240.85196954255167</v>
      </c>
      <c r="P22" s="12">
        <f t="shared" si="8"/>
        <v>237.54207300396828</v>
      </c>
      <c r="Q22" s="12">
        <f t="shared" si="8"/>
        <v>950.1682920158731</v>
      </c>
      <c r="R22" s="12">
        <f t="shared" si="8"/>
        <v>942.1073050378752</v>
      </c>
      <c r="S22" s="12">
        <f>+S12+S17</f>
        <v>976.7581539907883</v>
      </c>
      <c r="T22" s="12">
        <f>+T12+T17</f>
        <v>1046.4728993914132</v>
      </c>
      <c r="U22" s="12">
        <f>+U12+U17</f>
        <v>1148.724562690305</v>
      </c>
      <c r="V22" s="12">
        <f>+V12+V17</f>
        <v>1266.3139754840306</v>
      </c>
      <c r="X22" s="9"/>
      <c r="Y22" s="11"/>
    </row>
    <row r="23" spans="1:25" s="25" customFormat="1" ht="13.5" thickBot="1">
      <c r="A23" s="30" t="s">
        <v>14</v>
      </c>
      <c r="B23" s="30" t="s">
        <v>99</v>
      </c>
      <c r="C23" s="139"/>
      <c r="D23" s="74">
        <f>+D15+D20</f>
        <v>147.11</v>
      </c>
      <c r="E23" s="74">
        <v>146</v>
      </c>
      <c r="F23" s="200">
        <v>145.2</v>
      </c>
      <c r="G23" s="74">
        <f aca="true" t="shared" si="9" ref="G23:R23">+G15+G20</f>
        <v>139.224036</v>
      </c>
      <c r="H23" s="74">
        <f t="shared" si="9"/>
        <v>134.638570842</v>
      </c>
      <c r="I23" s="74">
        <f t="shared" si="9"/>
        <v>131.20907254757702</v>
      </c>
      <c r="J23" s="74">
        <f t="shared" si="9"/>
        <v>127.16468610371521</v>
      </c>
      <c r="K23" s="74">
        <f t="shared" si="9"/>
        <v>123.39180826765406</v>
      </c>
      <c r="L23" s="74">
        <f t="shared" si="9"/>
        <v>120.62937003403104</v>
      </c>
      <c r="M23" s="74">
        <f t="shared" si="9"/>
        <v>118.04848211261589</v>
      </c>
      <c r="N23" s="74">
        <f t="shared" si="9"/>
        <v>115.64250635784487</v>
      </c>
      <c r="O23" s="74">
        <f t="shared" si="9"/>
        <v>113.40512707909288</v>
      </c>
      <c r="P23" s="74">
        <f t="shared" si="9"/>
        <v>111.33033753612835</v>
      </c>
      <c r="Q23" s="74">
        <f t="shared" si="9"/>
        <v>445.3213501445134</v>
      </c>
      <c r="R23" s="74">
        <f t="shared" si="9"/>
        <v>432.3088503525896</v>
      </c>
      <c r="S23" s="74">
        <f>+S15+S20</f>
        <v>440.6225971000109</v>
      </c>
      <c r="T23" s="74">
        <f>+T15+T20</f>
        <v>466.01252848507613</v>
      </c>
      <c r="U23" s="74">
        <f>+U15+U20</f>
        <v>506.91319380463284</v>
      </c>
      <c r="V23" s="74">
        <f>+V15+V20</f>
        <v>553.948958922123</v>
      </c>
      <c r="X23" s="27"/>
      <c r="Y23" s="28"/>
    </row>
    <row r="24" spans="1:25" s="25" customFormat="1" ht="13.5" thickTop="1">
      <c r="A24" s="30"/>
      <c r="B24" s="25" t="s">
        <v>75</v>
      </c>
      <c r="C24" s="139" t="s">
        <v>110</v>
      </c>
      <c r="D24" s="76">
        <f>+D23/D22</f>
        <v>0.4695499521225663</v>
      </c>
      <c r="E24" s="76">
        <f>+E23/E22</f>
        <v>0.5050155655482531</v>
      </c>
      <c r="F24" s="201">
        <f>+F23/F22</f>
        <v>0.506806282722513</v>
      </c>
      <c r="G24" s="76">
        <f aca="true" t="shared" si="10" ref="G24:R24">+G23/G22</f>
        <v>0.4974791274393306</v>
      </c>
      <c r="H24" s="76">
        <f t="shared" si="10"/>
        <v>0.492019986707541</v>
      </c>
      <c r="I24" s="76">
        <f t="shared" si="10"/>
        <v>0.48987736060467585</v>
      </c>
      <c r="J24" s="76">
        <f t="shared" si="10"/>
        <v>0.48456153185136924</v>
      </c>
      <c r="K24" s="76">
        <f t="shared" si="10"/>
        <v>0.47936694479468683</v>
      </c>
      <c r="L24" s="76">
        <f t="shared" si="10"/>
        <v>0.4772733892145208</v>
      </c>
      <c r="M24" s="76">
        <f t="shared" si="10"/>
        <v>0.4751530902552532</v>
      </c>
      <c r="N24" s="76">
        <f t="shared" si="10"/>
        <v>0.4730104100795063</v>
      </c>
      <c r="O24" s="76">
        <f t="shared" si="10"/>
        <v>0.4708499054190106</v>
      </c>
      <c r="P24" s="76">
        <f t="shared" si="10"/>
        <v>0.4686762901756293</v>
      </c>
      <c r="Q24" s="76">
        <f t="shared" si="10"/>
        <v>0.4686762901756293</v>
      </c>
      <c r="R24" s="76">
        <f t="shared" si="10"/>
        <v>0.4588743214714906</v>
      </c>
      <c r="S24" s="76">
        <f>+S23/S22</f>
        <v>0.4511071602522464</v>
      </c>
      <c r="T24" s="76">
        <f>+T23/T22</f>
        <v>0.4453173405217568</v>
      </c>
      <c r="U24" s="76">
        <f>+U23/U22</f>
        <v>0.441283498471945</v>
      </c>
      <c r="V24" s="76">
        <f>+V23/V22</f>
        <v>0.4374499292013135</v>
      </c>
      <c r="X24" s="27"/>
      <c r="Y24" s="28"/>
    </row>
    <row r="25" spans="1:25" s="2" customFormat="1" ht="12.75">
      <c r="A25" s="29"/>
      <c r="B25" s="94"/>
      <c r="C25" s="136"/>
      <c r="D25" s="140"/>
      <c r="E25" s="140"/>
      <c r="F25" s="193"/>
      <c r="X25" s="9"/>
      <c r="Y25" s="11"/>
    </row>
    <row r="26" spans="1:25" s="25" customFormat="1" ht="12.75">
      <c r="A26" s="30"/>
      <c r="B26" s="24"/>
      <c r="C26" s="139"/>
      <c r="D26" s="36"/>
      <c r="E26" s="36"/>
      <c r="F26" s="199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X26" s="27"/>
      <c r="Y26" s="28"/>
    </row>
    <row r="27" spans="1:25" s="2" customFormat="1" ht="12.75">
      <c r="A27" s="29"/>
      <c r="B27" s="48" t="s">
        <v>44</v>
      </c>
      <c r="C27" s="140"/>
      <c r="D27" s="148"/>
      <c r="E27" s="148"/>
      <c r="F27" s="19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29"/>
      <c r="B28" s="24" t="s">
        <v>15</v>
      </c>
      <c r="C28" s="140"/>
      <c r="D28" s="148"/>
      <c r="E28" s="148"/>
      <c r="F28" s="19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29"/>
      <c r="B29" s="1" t="s">
        <v>78</v>
      </c>
      <c r="C29" s="140"/>
      <c r="D29" s="148">
        <f>266*0.05/4</f>
        <v>3.325</v>
      </c>
      <c r="E29" s="148">
        <v>2.07</v>
      </c>
      <c r="F29" s="194">
        <v>1.7825</v>
      </c>
      <c r="G29" s="1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29"/>
      <c r="B30" s="1" t="s">
        <v>79</v>
      </c>
      <c r="C30" s="140"/>
      <c r="D30" s="148"/>
      <c r="E30" s="148">
        <f>+Y68/4</f>
        <v>2.629</v>
      </c>
      <c r="F30" s="194">
        <f>+E30</f>
        <v>2.629</v>
      </c>
      <c r="G30" s="12">
        <f>+F30</f>
        <v>2.629</v>
      </c>
      <c r="H30" s="12">
        <f>+G30</f>
        <v>2.629</v>
      </c>
      <c r="I30" s="12">
        <f>+H30*0.5</f>
        <v>1.3145</v>
      </c>
      <c r="J30" s="12"/>
      <c r="K30" s="12"/>
      <c r="L30" s="12"/>
      <c r="M30" s="26">
        <v>1.65</v>
      </c>
      <c r="N30" s="26">
        <v>1.65</v>
      </c>
      <c r="O30" s="26">
        <v>1.65</v>
      </c>
      <c r="P30" s="26">
        <v>1.65</v>
      </c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29"/>
      <c r="B31" s="1" t="s">
        <v>23</v>
      </c>
      <c r="C31" s="178"/>
      <c r="D31" s="148">
        <v>0</v>
      </c>
      <c r="E31" s="148">
        <v>0</v>
      </c>
      <c r="F31" s="19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29"/>
      <c r="B32" s="1" t="s">
        <v>32</v>
      </c>
      <c r="C32" s="140"/>
      <c r="D32" s="148">
        <f aca="true" t="shared" si="11" ref="D32:K32">+$Y71/4</f>
        <v>2.875</v>
      </c>
      <c r="E32" s="148">
        <f t="shared" si="11"/>
        <v>2.875</v>
      </c>
      <c r="F32" s="194">
        <f t="shared" si="11"/>
        <v>2.875</v>
      </c>
      <c r="G32" s="12">
        <f t="shared" si="11"/>
        <v>2.875</v>
      </c>
      <c r="H32" s="12">
        <f t="shared" si="11"/>
        <v>2.875</v>
      </c>
      <c r="I32" s="12">
        <f t="shared" si="11"/>
        <v>2.875</v>
      </c>
      <c r="J32" s="12">
        <f t="shared" si="11"/>
        <v>2.875</v>
      </c>
      <c r="K32" s="12">
        <f t="shared" si="11"/>
        <v>2.875</v>
      </c>
      <c r="L32" s="118">
        <v>0.9</v>
      </c>
      <c r="M32" s="118">
        <f>+$Y71/4*0</f>
        <v>0</v>
      </c>
      <c r="N32" s="118">
        <f>+M32</f>
        <v>0</v>
      </c>
      <c r="O32" s="118">
        <f>+N32</f>
        <v>0</v>
      </c>
      <c r="P32" s="118">
        <f>+O32</f>
        <v>0</v>
      </c>
      <c r="Q32" s="118">
        <f>+P32*4</f>
        <v>0</v>
      </c>
      <c r="R32" s="118">
        <f>+Q32</f>
        <v>0</v>
      </c>
      <c r="S32" s="118">
        <f>+R32</f>
        <v>0</v>
      </c>
      <c r="T32" s="118">
        <f>+S32</f>
        <v>0</v>
      </c>
      <c r="U32" s="118">
        <f>+T32</f>
        <v>0</v>
      </c>
      <c r="V32" s="118">
        <f>+U32</f>
        <v>0</v>
      </c>
      <c r="X32" s="9"/>
      <c r="Y32" s="11"/>
    </row>
    <row r="33" spans="1:25" s="2" customFormat="1" ht="12.75">
      <c r="A33" s="29"/>
      <c r="B33" s="1" t="s">
        <v>13</v>
      </c>
      <c r="C33" s="140"/>
      <c r="D33" s="148"/>
      <c r="E33" s="148"/>
      <c r="F33" s="194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29"/>
      <c r="B34" s="7" t="s">
        <v>25</v>
      </c>
      <c r="C34" s="140"/>
      <c r="D34" s="148">
        <f aca="true" t="shared" si="12" ref="D34:P41">+$Y73/4</f>
        <v>2.1125000000000003</v>
      </c>
      <c r="E34" s="148">
        <f t="shared" si="12"/>
        <v>2.1125000000000003</v>
      </c>
      <c r="F34" s="194">
        <f t="shared" si="12"/>
        <v>2.1125000000000003</v>
      </c>
      <c r="G34" s="12">
        <f t="shared" si="12"/>
        <v>2.1125000000000003</v>
      </c>
      <c r="H34" s="12">
        <f t="shared" si="12"/>
        <v>2.1125000000000003</v>
      </c>
      <c r="I34" s="12">
        <f t="shared" si="12"/>
        <v>2.1125000000000003</v>
      </c>
      <c r="J34" s="12">
        <f t="shared" si="12"/>
        <v>2.1125000000000003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29"/>
      <c r="B35" s="1" t="s">
        <v>24</v>
      </c>
      <c r="C35" s="140"/>
      <c r="D35" s="148">
        <f t="shared" si="12"/>
        <v>2.140625</v>
      </c>
      <c r="E35" s="148">
        <f t="shared" si="12"/>
        <v>2.140625</v>
      </c>
      <c r="F35" s="194">
        <f t="shared" si="12"/>
        <v>2.140625</v>
      </c>
      <c r="G35" s="12">
        <f t="shared" si="12"/>
        <v>2.140625</v>
      </c>
      <c r="H35" s="12">
        <f t="shared" si="12"/>
        <v>2.140625</v>
      </c>
      <c r="I35" s="12">
        <f t="shared" si="12"/>
        <v>2.140625</v>
      </c>
      <c r="J35" s="12">
        <f t="shared" si="12"/>
        <v>2.140625</v>
      </c>
      <c r="K35" s="12">
        <f t="shared" si="12"/>
        <v>2.140625</v>
      </c>
      <c r="L35" s="12">
        <f t="shared" si="12"/>
        <v>2.140625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29"/>
      <c r="B36" s="1" t="s">
        <v>26</v>
      </c>
      <c r="C36" s="140"/>
      <c r="D36" s="148">
        <f t="shared" si="12"/>
        <v>3.640125</v>
      </c>
      <c r="E36" s="148">
        <f t="shared" si="12"/>
        <v>3.640125</v>
      </c>
      <c r="F36" s="194">
        <f t="shared" si="12"/>
        <v>3.640125</v>
      </c>
      <c r="G36" s="12">
        <f t="shared" si="12"/>
        <v>3.640125</v>
      </c>
      <c r="H36" s="12">
        <f t="shared" si="12"/>
        <v>3.640125</v>
      </c>
      <c r="I36" s="12">
        <f t="shared" si="12"/>
        <v>3.640125</v>
      </c>
      <c r="J36" s="12">
        <f t="shared" si="12"/>
        <v>3.640125</v>
      </c>
      <c r="K36" s="12">
        <f t="shared" si="12"/>
        <v>3.640125</v>
      </c>
      <c r="L36" s="12">
        <f t="shared" si="12"/>
        <v>3.640125</v>
      </c>
      <c r="M36" s="12">
        <f t="shared" si="12"/>
        <v>3.640125</v>
      </c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29"/>
      <c r="B37" s="1" t="s">
        <v>27</v>
      </c>
      <c r="C37" s="140"/>
      <c r="D37" s="148">
        <f t="shared" si="12"/>
        <v>2.5185</v>
      </c>
      <c r="E37" s="148">
        <f t="shared" si="12"/>
        <v>2.5185</v>
      </c>
      <c r="F37" s="194">
        <f t="shared" si="12"/>
        <v>2.5185</v>
      </c>
      <c r="G37" s="12">
        <f t="shared" si="12"/>
        <v>2.5185</v>
      </c>
      <c r="H37" s="12">
        <f t="shared" si="12"/>
        <v>2.5185</v>
      </c>
      <c r="I37" s="12">
        <f t="shared" si="12"/>
        <v>2.5185</v>
      </c>
      <c r="J37" s="12">
        <f t="shared" si="12"/>
        <v>2.5185</v>
      </c>
      <c r="K37" s="12">
        <f t="shared" si="12"/>
        <v>2.5185</v>
      </c>
      <c r="L37" s="12">
        <f t="shared" si="12"/>
        <v>2.5185</v>
      </c>
      <c r="M37" s="12">
        <f t="shared" si="12"/>
        <v>2.5185</v>
      </c>
      <c r="N37" s="12">
        <f t="shared" si="12"/>
        <v>2.5185</v>
      </c>
      <c r="O37" s="12">
        <f t="shared" si="12"/>
        <v>2.5185</v>
      </c>
      <c r="P37" s="12">
        <f t="shared" si="12"/>
        <v>2.5185</v>
      </c>
      <c r="Q37" s="12">
        <v>1.5</v>
      </c>
      <c r="R37" s="12"/>
      <c r="S37" s="12"/>
      <c r="T37" s="12"/>
      <c r="U37" s="12"/>
      <c r="V37" s="12"/>
      <c r="X37" s="9"/>
      <c r="Y37" s="11"/>
    </row>
    <row r="38" spans="1:25" s="2" customFormat="1" ht="12.75">
      <c r="A38" s="29"/>
      <c r="B38" s="1" t="s">
        <v>28</v>
      </c>
      <c r="C38" s="140"/>
      <c r="D38" s="148">
        <f t="shared" si="12"/>
        <v>4.2</v>
      </c>
      <c r="E38" s="148">
        <f t="shared" si="12"/>
        <v>4.2</v>
      </c>
      <c r="F38" s="194">
        <f t="shared" si="12"/>
        <v>4.2</v>
      </c>
      <c r="G38" s="12">
        <f t="shared" si="12"/>
        <v>4.2</v>
      </c>
      <c r="H38" s="12">
        <f t="shared" si="12"/>
        <v>4.2</v>
      </c>
      <c r="I38" s="12">
        <f t="shared" si="12"/>
        <v>4.2</v>
      </c>
      <c r="J38" s="12">
        <f t="shared" si="12"/>
        <v>4.2</v>
      </c>
      <c r="K38" s="12">
        <f t="shared" si="12"/>
        <v>4.2</v>
      </c>
      <c r="L38" s="12">
        <f t="shared" si="12"/>
        <v>4.2</v>
      </c>
      <c r="M38" s="12">
        <f t="shared" si="12"/>
        <v>4.2</v>
      </c>
      <c r="N38" s="12">
        <f t="shared" si="12"/>
        <v>4.2</v>
      </c>
      <c r="O38" s="12">
        <f t="shared" si="12"/>
        <v>4.2</v>
      </c>
      <c r="P38" s="12">
        <f t="shared" si="12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29"/>
      <c r="B39" s="1" t="s">
        <v>29</v>
      </c>
      <c r="C39" s="140"/>
      <c r="D39" s="148">
        <f t="shared" si="12"/>
        <v>1.769625</v>
      </c>
      <c r="E39" s="148">
        <f t="shared" si="12"/>
        <v>1.769625</v>
      </c>
      <c r="F39" s="194">
        <f t="shared" si="12"/>
        <v>1.769625</v>
      </c>
      <c r="G39" s="12">
        <f t="shared" si="12"/>
        <v>1.769625</v>
      </c>
      <c r="H39" s="12">
        <f t="shared" si="12"/>
        <v>1.769625</v>
      </c>
      <c r="I39" s="12">
        <f t="shared" si="12"/>
        <v>1.769625</v>
      </c>
      <c r="J39" s="12">
        <f t="shared" si="12"/>
        <v>1.769625</v>
      </c>
      <c r="K39" s="12">
        <f t="shared" si="12"/>
        <v>1.769625</v>
      </c>
      <c r="L39" s="12">
        <f t="shared" si="12"/>
        <v>1.769625</v>
      </c>
      <c r="M39" s="12">
        <f t="shared" si="12"/>
        <v>1.769625</v>
      </c>
      <c r="N39" s="12">
        <f t="shared" si="12"/>
        <v>1.769625</v>
      </c>
      <c r="O39" s="12">
        <f t="shared" si="12"/>
        <v>1.769625</v>
      </c>
      <c r="P39" s="12">
        <f t="shared" si="12"/>
        <v>1.769625</v>
      </c>
      <c r="Q39" s="12">
        <f>+P39*4</f>
        <v>7.0785</v>
      </c>
      <c r="R39" s="12">
        <f aca="true" t="shared" si="13" ref="R39:T41">+Q39</f>
        <v>7.0785</v>
      </c>
      <c r="S39" s="12">
        <f t="shared" si="13"/>
        <v>7.0785</v>
      </c>
      <c r="T39" s="12">
        <f t="shared" si="13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29"/>
      <c r="B40" s="1" t="s">
        <v>30</v>
      </c>
      <c r="C40" s="140"/>
      <c r="D40" s="148">
        <f t="shared" si="12"/>
        <v>5.8125</v>
      </c>
      <c r="E40" s="148">
        <f t="shared" si="12"/>
        <v>5.8125</v>
      </c>
      <c r="F40" s="194">
        <f t="shared" si="12"/>
        <v>5.8125</v>
      </c>
      <c r="G40" s="12">
        <f t="shared" si="12"/>
        <v>5.8125</v>
      </c>
      <c r="H40" s="12">
        <f t="shared" si="12"/>
        <v>5.8125</v>
      </c>
      <c r="I40" s="12">
        <f t="shared" si="12"/>
        <v>5.8125</v>
      </c>
      <c r="J40" s="12">
        <f t="shared" si="12"/>
        <v>5.8125</v>
      </c>
      <c r="K40" s="12">
        <f t="shared" si="12"/>
        <v>5.8125</v>
      </c>
      <c r="L40" s="12">
        <f t="shared" si="12"/>
        <v>5.8125</v>
      </c>
      <c r="M40" s="12">
        <f t="shared" si="12"/>
        <v>5.8125</v>
      </c>
      <c r="N40" s="12">
        <f t="shared" si="12"/>
        <v>5.8125</v>
      </c>
      <c r="O40" s="12">
        <f t="shared" si="12"/>
        <v>5.8125</v>
      </c>
      <c r="P40" s="12">
        <f t="shared" si="12"/>
        <v>5.8125</v>
      </c>
      <c r="Q40" s="12">
        <f>+P40*4</f>
        <v>23.25</v>
      </c>
      <c r="R40" s="12">
        <f t="shared" si="13"/>
        <v>23.25</v>
      </c>
      <c r="S40" s="12">
        <f t="shared" si="13"/>
        <v>23.25</v>
      </c>
      <c r="T40" s="12">
        <f t="shared" si="13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29"/>
      <c r="B41" s="1" t="s">
        <v>31</v>
      </c>
      <c r="C41" s="140"/>
      <c r="D41" s="148">
        <f t="shared" si="12"/>
        <v>0.265625</v>
      </c>
      <c r="E41" s="148">
        <f t="shared" si="12"/>
        <v>0.265625</v>
      </c>
      <c r="F41" s="194">
        <f t="shared" si="12"/>
        <v>0.265625</v>
      </c>
      <c r="G41" s="12">
        <f t="shared" si="12"/>
        <v>0.265625</v>
      </c>
      <c r="H41" s="12">
        <f t="shared" si="12"/>
        <v>0.265625</v>
      </c>
      <c r="I41" s="12">
        <f t="shared" si="12"/>
        <v>0.265625</v>
      </c>
      <c r="J41" s="12">
        <f t="shared" si="12"/>
        <v>0.265625</v>
      </c>
      <c r="K41" s="12">
        <f t="shared" si="12"/>
        <v>0.265625</v>
      </c>
      <c r="L41" s="12">
        <f t="shared" si="12"/>
        <v>0.265625</v>
      </c>
      <c r="M41" s="12">
        <f t="shared" si="12"/>
        <v>0.265625</v>
      </c>
      <c r="N41" s="12">
        <f t="shared" si="12"/>
        <v>0.265625</v>
      </c>
      <c r="O41" s="12">
        <f t="shared" si="12"/>
        <v>0.265625</v>
      </c>
      <c r="P41" s="12">
        <f t="shared" si="12"/>
        <v>0.265625</v>
      </c>
      <c r="Q41" s="12">
        <f>+P41*4</f>
        <v>1.0625</v>
      </c>
      <c r="R41" s="12">
        <f t="shared" si="13"/>
        <v>1.0625</v>
      </c>
      <c r="S41" s="12">
        <f t="shared" si="13"/>
        <v>1.0625</v>
      </c>
      <c r="T41" s="12">
        <f t="shared" si="13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" customFormat="1" ht="12.75">
      <c r="A42" s="29"/>
      <c r="B42" s="18" t="s">
        <v>88</v>
      </c>
      <c r="C42" s="140"/>
      <c r="D42" s="148">
        <f>35.6-28.7</f>
        <v>6.900000000000002</v>
      </c>
      <c r="E42" s="148">
        <f>32.9-30</f>
        <v>2.8999999999999986</v>
      </c>
      <c r="F42" s="194">
        <v>-2.7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29"/>
      <c r="B43" s="18"/>
      <c r="C43" s="140"/>
      <c r="D43" s="148"/>
      <c r="E43" s="148"/>
      <c r="F43" s="19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29" t="s">
        <v>105</v>
      </c>
      <c r="B44" s="18" t="s">
        <v>101</v>
      </c>
      <c r="C44" s="140"/>
      <c r="D44" s="148"/>
      <c r="E44" s="148">
        <v>1.9</v>
      </c>
      <c r="F44" s="194">
        <f>7.4-E44</f>
        <v>5.5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X44" s="9"/>
      <c r="Y44" s="11"/>
    </row>
    <row r="45" spans="1:25" s="2" customFormat="1" ht="12.75">
      <c r="A45" s="29"/>
      <c r="B45" s="24"/>
      <c r="C45" s="140"/>
      <c r="D45" s="148"/>
      <c r="E45" s="148"/>
      <c r="F45" s="19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29"/>
      <c r="B46" s="24" t="s">
        <v>103</v>
      </c>
      <c r="C46" s="140"/>
      <c r="D46" s="148">
        <v>27.3</v>
      </c>
      <c r="E46" s="184">
        <v>29.8</v>
      </c>
      <c r="F46" s="194">
        <f>+(125-$E$46)/3</f>
        <v>31.733333333333334</v>
      </c>
      <c r="G46" s="12">
        <f aca="true" t="shared" si="14" ref="G46:P46">+F46</f>
        <v>31.733333333333334</v>
      </c>
      <c r="H46" s="12">
        <f t="shared" si="14"/>
        <v>31.733333333333334</v>
      </c>
      <c r="I46" s="12">
        <v>35</v>
      </c>
      <c r="J46" s="12">
        <f t="shared" si="14"/>
        <v>35</v>
      </c>
      <c r="K46" s="12">
        <f t="shared" si="14"/>
        <v>35</v>
      </c>
      <c r="L46" s="12">
        <f t="shared" si="14"/>
        <v>35</v>
      </c>
      <c r="M46" s="12">
        <f t="shared" si="14"/>
        <v>35</v>
      </c>
      <c r="N46" s="12">
        <f t="shared" si="14"/>
        <v>35</v>
      </c>
      <c r="O46" s="12">
        <f t="shared" si="14"/>
        <v>35</v>
      </c>
      <c r="P46" s="12">
        <f t="shared" si="14"/>
        <v>35</v>
      </c>
      <c r="Q46" s="12">
        <f>+P46*4</f>
        <v>140</v>
      </c>
      <c r="R46" s="12">
        <f>+Q46</f>
        <v>140</v>
      </c>
      <c r="S46" s="12">
        <f>+R46</f>
        <v>140</v>
      </c>
      <c r="T46" s="12">
        <f>+S46</f>
        <v>140</v>
      </c>
      <c r="U46" s="12">
        <f>+T46</f>
        <v>140</v>
      </c>
      <c r="V46" s="12">
        <f>+U46</f>
        <v>140</v>
      </c>
      <c r="X46" s="9"/>
      <c r="Y46" s="11"/>
    </row>
    <row r="47" spans="1:25" s="2" customFormat="1" ht="12.75">
      <c r="A47" s="29"/>
      <c r="C47" s="140"/>
      <c r="D47" s="148"/>
      <c r="E47" s="148"/>
      <c r="F47" s="19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X47" s="9"/>
      <c r="Y47" s="11"/>
    </row>
    <row r="48" spans="1:25" s="2" customFormat="1" ht="12.75">
      <c r="A48" s="29"/>
      <c r="B48" s="24" t="s">
        <v>66</v>
      </c>
      <c r="C48" s="140"/>
      <c r="D48" s="148">
        <v>14.7</v>
      </c>
      <c r="E48" s="148">
        <v>8.2</v>
      </c>
      <c r="F48" s="194">
        <f>16.9-E48</f>
        <v>8.7</v>
      </c>
      <c r="G48" s="12">
        <f aca="true" t="shared" si="15" ref="G48:P48">+F48</f>
        <v>8.7</v>
      </c>
      <c r="H48" s="12">
        <f t="shared" si="15"/>
        <v>8.7</v>
      </c>
      <c r="I48" s="12">
        <f t="shared" si="15"/>
        <v>8.7</v>
      </c>
      <c r="J48" s="12">
        <f t="shared" si="15"/>
        <v>8.7</v>
      </c>
      <c r="K48" s="12">
        <f t="shared" si="15"/>
        <v>8.7</v>
      </c>
      <c r="L48" s="12">
        <f t="shared" si="15"/>
        <v>8.7</v>
      </c>
      <c r="M48" s="12">
        <f t="shared" si="15"/>
        <v>8.7</v>
      </c>
      <c r="N48" s="12">
        <f t="shared" si="15"/>
        <v>8.7</v>
      </c>
      <c r="O48" s="12">
        <f t="shared" si="15"/>
        <v>8.7</v>
      </c>
      <c r="P48" s="12">
        <f t="shared" si="15"/>
        <v>8.7</v>
      </c>
      <c r="Q48" s="12">
        <f>+P48*4</f>
        <v>34.8</v>
      </c>
      <c r="R48" s="12">
        <f>+Q48</f>
        <v>34.8</v>
      </c>
      <c r="S48" s="12">
        <f>+R48</f>
        <v>34.8</v>
      </c>
      <c r="T48" s="12">
        <f>+S48</f>
        <v>34.8</v>
      </c>
      <c r="U48" s="12">
        <f>+T48</f>
        <v>34.8</v>
      </c>
      <c r="V48" s="12">
        <f>+U48</f>
        <v>34.8</v>
      </c>
      <c r="X48" s="9"/>
      <c r="Y48" s="11"/>
    </row>
    <row r="49" spans="1:25" s="2" customFormat="1" ht="12.75">
      <c r="A49" s="29" t="s">
        <v>105</v>
      </c>
      <c r="B49" s="24" t="s">
        <v>102</v>
      </c>
      <c r="C49" s="140"/>
      <c r="D49" s="148">
        <v>0</v>
      </c>
      <c r="E49" s="148">
        <v>13.036</v>
      </c>
      <c r="F49" s="194">
        <v>0</v>
      </c>
      <c r="G49" s="12">
        <v>0</v>
      </c>
      <c r="H49" s="12">
        <v>0</v>
      </c>
      <c r="I49" s="26">
        <v>13</v>
      </c>
      <c r="J49" s="12">
        <v>0</v>
      </c>
      <c r="K49" s="12">
        <v>0</v>
      </c>
      <c r="L49" s="12">
        <v>0</v>
      </c>
      <c r="M49" s="26">
        <v>13</v>
      </c>
      <c r="N49" s="12">
        <v>0</v>
      </c>
      <c r="O49" s="12">
        <v>0</v>
      </c>
      <c r="P49" s="12">
        <v>0</v>
      </c>
      <c r="Q49" s="26">
        <v>13</v>
      </c>
      <c r="R49" s="26">
        <v>13</v>
      </c>
      <c r="S49" s="12">
        <v>0</v>
      </c>
      <c r="T49" s="12">
        <v>0</v>
      </c>
      <c r="U49" s="12">
        <v>0</v>
      </c>
      <c r="V49" s="12">
        <v>0</v>
      </c>
      <c r="X49" s="9"/>
      <c r="Y49" s="11"/>
    </row>
    <row r="50" spans="1:25" s="2" customFormat="1" ht="12.75">
      <c r="A50" s="29" t="s">
        <v>105</v>
      </c>
      <c r="B50" s="24" t="s">
        <v>104</v>
      </c>
      <c r="C50" s="140"/>
      <c r="D50" s="148"/>
      <c r="E50" s="148">
        <f>42.736+(315.3-310.1)</f>
        <v>47.935999999999986</v>
      </c>
      <c r="F50" s="194">
        <f>30.4-E50-0.7</f>
        <v>-18.235999999999986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X50" s="9"/>
      <c r="Y50" s="11"/>
    </row>
    <row r="51" spans="1:25" s="2" customFormat="1" ht="12.75">
      <c r="A51" s="29"/>
      <c r="C51" s="140"/>
      <c r="D51" s="148"/>
      <c r="E51" s="148"/>
      <c r="F51" s="19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X51" s="9"/>
      <c r="Y51" s="11"/>
    </row>
    <row r="52" spans="1:25" s="2" customFormat="1" ht="12.75">
      <c r="A52" s="29"/>
      <c r="B52" s="24" t="s">
        <v>89</v>
      </c>
      <c r="C52" s="140"/>
      <c r="D52" s="148">
        <v>2.9</v>
      </c>
      <c r="E52" s="148">
        <v>0</v>
      </c>
      <c r="F52" s="19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X52" s="9"/>
      <c r="Y52" s="11"/>
    </row>
    <row r="53" spans="1:25" s="2" customFormat="1" ht="12.75">
      <c r="A53" s="29"/>
      <c r="B53" s="2" t="s">
        <v>90</v>
      </c>
      <c r="C53" s="140"/>
      <c r="D53" s="148">
        <v>0.5</v>
      </c>
      <c r="E53" s="148"/>
      <c r="F53" s="19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X53" s="9"/>
      <c r="Y53" s="11"/>
    </row>
    <row r="54" spans="1:25" s="2" customFormat="1" ht="12.75">
      <c r="A54" s="29"/>
      <c r="B54" s="24" t="s">
        <v>17</v>
      </c>
      <c r="C54" s="141" t="s">
        <v>94</v>
      </c>
      <c r="D54" s="148">
        <v>10</v>
      </c>
      <c r="E54" s="148">
        <v>0</v>
      </c>
      <c r="F54" s="194">
        <v>0</v>
      </c>
      <c r="G54" s="12">
        <f aca="true" t="shared" si="16" ref="G54:P54">+F54</f>
        <v>0</v>
      </c>
      <c r="H54" s="12">
        <f t="shared" si="16"/>
        <v>0</v>
      </c>
      <c r="I54" s="12">
        <f t="shared" si="16"/>
        <v>0</v>
      </c>
      <c r="J54" s="12">
        <f t="shared" si="16"/>
        <v>0</v>
      </c>
      <c r="K54" s="12">
        <f t="shared" si="16"/>
        <v>0</v>
      </c>
      <c r="L54" s="12">
        <f t="shared" si="16"/>
        <v>0</v>
      </c>
      <c r="M54" s="12">
        <f t="shared" si="16"/>
        <v>0</v>
      </c>
      <c r="N54" s="12">
        <f t="shared" si="16"/>
        <v>0</v>
      </c>
      <c r="O54" s="12">
        <f t="shared" si="16"/>
        <v>0</v>
      </c>
      <c r="P54" s="12">
        <f t="shared" si="16"/>
        <v>0</v>
      </c>
      <c r="Q54" s="12">
        <f>+P54*4</f>
        <v>0</v>
      </c>
      <c r="R54" s="12">
        <f>+Q54</f>
        <v>0</v>
      </c>
      <c r="S54" s="12">
        <f>+R54</f>
        <v>0</v>
      </c>
      <c r="T54" s="12">
        <f>+S54</f>
        <v>0</v>
      </c>
      <c r="U54" s="12">
        <f>+T54</f>
        <v>0</v>
      </c>
      <c r="V54" s="12">
        <f>+U54</f>
        <v>0</v>
      </c>
      <c r="X54" s="9"/>
      <c r="Y54" s="11"/>
    </row>
    <row r="55" spans="1:25" s="2" customFormat="1" ht="12.75">
      <c r="A55" s="29"/>
      <c r="C55" s="141"/>
      <c r="D55" s="148"/>
      <c r="E55" s="148"/>
      <c r="F55" s="20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X55" s="9"/>
      <c r="Y55" s="11"/>
    </row>
    <row r="56" spans="1:25" s="25" customFormat="1" ht="12.75">
      <c r="A56" s="30" t="s">
        <v>37</v>
      </c>
      <c r="B56" s="24" t="s">
        <v>19</v>
      </c>
      <c r="C56" s="142"/>
      <c r="D56" s="36">
        <f>SUM(D28:D55)</f>
        <v>90.9595</v>
      </c>
      <c r="E56" s="36">
        <f>SUM(E28:E55)</f>
        <v>133.8055</v>
      </c>
      <c r="F56" s="199">
        <f aca="true" t="shared" si="17" ref="F56:R56">SUM(F28:F55)</f>
        <v>54.743333333333354</v>
      </c>
      <c r="G56" s="26">
        <f t="shared" si="17"/>
        <v>69.89183333333334</v>
      </c>
      <c r="H56" s="26">
        <f t="shared" si="17"/>
        <v>69.60433333333333</v>
      </c>
      <c r="I56" s="26">
        <f t="shared" si="17"/>
        <v>84.269</v>
      </c>
      <c r="J56" s="26">
        <f t="shared" si="17"/>
        <v>69.03450000000001</v>
      </c>
      <c r="K56" s="26">
        <f t="shared" si="17"/>
        <v>66.922</v>
      </c>
      <c r="L56" s="26">
        <f t="shared" si="17"/>
        <v>64.947</v>
      </c>
      <c r="M56" s="26">
        <f t="shared" si="17"/>
        <v>76.556375</v>
      </c>
      <c r="N56" s="26">
        <f t="shared" si="17"/>
        <v>59.916250000000005</v>
      </c>
      <c r="O56" s="26">
        <f t="shared" si="17"/>
        <v>59.916250000000005</v>
      </c>
      <c r="P56" s="26">
        <f t="shared" si="17"/>
        <v>59.916250000000005</v>
      </c>
      <c r="Q56" s="26">
        <f t="shared" si="17"/>
        <v>237.49099999999999</v>
      </c>
      <c r="R56" s="26">
        <f t="shared" si="17"/>
        <v>221.99099999999999</v>
      </c>
      <c r="S56" s="26">
        <f>SUM(S28:S55)</f>
        <v>206.19099999999997</v>
      </c>
      <c r="T56" s="26">
        <f>SUM(T28:T55)</f>
        <v>206.19099999999997</v>
      </c>
      <c r="U56" s="26">
        <f>SUM(U28:U55)</f>
        <v>205.48315000000002</v>
      </c>
      <c r="V56" s="26">
        <f>SUM(V28:V55)</f>
        <v>181.675</v>
      </c>
      <c r="X56" s="27"/>
      <c r="Y56" s="28"/>
    </row>
    <row r="57" spans="1:25" s="25" customFormat="1" ht="12.75">
      <c r="A57" s="30"/>
      <c r="B57" s="24"/>
      <c r="C57" s="142"/>
      <c r="D57" s="36"/>
      <c r="E57" s="36"/>
      <c r="F57" s="199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X57" s="27"/>
      <c r="Y57" s="28"/>
    </row>
    <row r="58" spans="1:25" s="25" customFormat="1" ht="12.75">
      <c r="A58" s="30"/>
      <c r="B58" s="3" t="s">
        <v>33</v>
      </c>
      <c r="C58" s="136"/>
      <c r="D58" s="148">
        <v>52</v>
      </c>
      <c r="E58" s="36"/>
      <c r="F58" s="199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X58" s="27"/>
      <c r="Y58" s="28"/>
    </row>
    <row r="59" spans="1:25" s="2" customFormat="1" ht="12.75">
      <c r="A59" s="29"/>
      <c r="B59" s="3" t="s">
        <v>51</v>
      </c>
      <c r="C59" s="136"/>
      <c r="D59" s="148">
        <v>72</v>
      </c>
      <c r="E59" s="148"/>
      <c r="F59" s="20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X59" s="9"/>
      <c r="Y59" s="11"/>
    </row>
    <row r="60" spans="1:25" s="25" customFormat="1" ht="13.5" thickBot="1">
      <c r="A60" s="30" t="s">
        <v>38</v>
      </c>
      <c r="B60" s="24" t="s">
        <v>40</v>
      </c>
      <c r="C60" s="143" t="s">
        <v>41</v>
      </c>
      <c r="D60" s="31">
        <f>+D23-D56+D59+D58</f>
        <v>180.15050000000002</v>
      </c>
      <c r="E60" s="31">
        <f aca="true" t="shared" si="18" ref="E60:V60">+E23-E56</f>
        <v>12.194500000000005</v>
      </c>
      <c r="F60" s="203">
        <f t="shared" si="18"/>
        <v>90.45666666666664</v>
      </c>
      <c r="G60" s="31">
        <f t="shared" si="18"/>
        <v>69.33220266666667</v>
      </c>
      <c r="H60" s="31">
        <f t="shared" si="18"/>
        <v>65.03423750866668</v>
      </c>
      <c r="I60" s="31">
        <f t="shared" si="18"/>
        <v>46.94007254757702</v>
      </c>
      <c r="J60" s="31">
        <f t="shared" si="18"/>
        <v>58.130186103715204</v>
      </c>
      <c r="K60" s="31">
        <f t="shared" si="18"/>
        <v>56.46980826765406</v>
      </c>
      <c r="L60" s="31">
        <f t="shared" si="18"/>
        <v>55.68237003403104</v>
      </c>
      <c r="M60" s="31">
        <f t="shared" si="18"/>
        <v>41.492107112615884</v>
      </c>
      <c r="N60" s="31">
        <f t="shared" si="18"/>
        <v>55.72625635784486</v>
      </c>
      <c r="O60" s="31">
        <f t="shared" si="18"/>
        <v>53.48887707909287</v>
      </c>
      <c r="P60" s="31">
        <f t="shared" si="18"/>
        <v>51.41408753612835</v>
      </c>
      <c r="Q60" s="133">
        <f t="shared" si="18"/>
        <v>207.83035014451343</v>
      </c>
      <c r="R60" s="133">
        <f t="shared" si="18"/>
        <v>210.31785035258963</v>
      </c>
      <c r="S60" s="133">
        <f t="shared" si="18"/>
        <v>234.43159710001095</v>
      </c>
      <c r="T60" s="133">
        <f t="shared" si="18"/>
        <v>259.82152848507616</v>
      </c>
      <c r="U60" s="133">
        <f t="shared" si="18"/>
        <v>301.4300438046328</v>
      </c>
      <c r="V60" s="133">
        <f t="shared" si="18"/>
        <v>372.273958922123</v>
      </c>
      <c r="X60" s="27"/>
      <c r="Y60" s="28"/>
    </row>
    <row r="61" spans="1:25" s="25" customFormat="1" ht="13.5" thickTop="1">
      <c r="A61" s="30"/>
      <c r="B61" s="24"/>
      <c r="C61" s="143"/>
      <c r="D61" s="36"/>
      <c r="E61" s="36"/>
      <c r="F61" s="199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X61" s="27"/>
      <c r="Y61" s="28"/>
    </row>
    <row r="62" spans="1:25" s="25" customFormat="1" ht="12.75">
      <c r="A62" s="30"/>
      <c r="B62" s="24"/>
      <c r="C62" s="143"/>
      <c r="D62" s="36"/>
      <c r="E62" s="36"/>
      <c r="F62" s="199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X62" s="27"/>
      <c r="Y62" s="28"/>
    </row>
    <row r="63" spans="1:25" s="25" customFormat="1" ht="12.75">
      <c r="A63" s="30"/>
      <c r="B63" s="24"/>
      <c r="C63" s="143"/>
      <c r="D63" s="36"/>
      <c r="E63" s="36"/>
      <c r="F63" s="19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X63" s="27"/>
      <c r="Y63" s="28"/>
    </row>
    <row r="64" spans="1:25" s="25" customFormat="1" ht="12.75">
      <c r="A64" s="30"/>
      <c r="B64" s="24"/>
      <c r="C64" s="143"/>
      <c r="D64" s="36"/>
      <c r="E64" s="36"/>
      <c r="F64" s="199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X64" s="27"/>
      <c r="Y64" s="28"/>
    </row>
    <row r="65" spans="1:25" s="2" customFormat="1" ht="12.75">
      <c r="A65" s="29"/>
      <c r="B65" s="3"/>
      <c r="C65" s="136"/>
      <c r="D65" s="148"/>
      <c r="E65" s="148"/>
      <c r="F65" s="19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X65" s="37" t="s">
        <v>52</v>
      </c>
      <c r="Y65" s="38" t="s">
        <v>46</v>
      </c>
    </row>
    <row r="66" spans="2:25" ht="12.75">
      <c r="B66" s="49" t="s">
        <v>20</v>
      </c>
      <c r="C66" s="4"/>
      <c r="D66" s="149"/>
      <c r="E66" s="185"/>
      <c r="F66" s="20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X66" s="39" t="s">
        <v>20</v>
      </c>
      <c r="Y66" s="40" t="s">
        <v>45</v>
      </c>
    </row>
    <row r="67" spans="1:25" ht="12.75">
      <c r="A67" s="16" t="s">
        <v>39</v>
      </c>
      <c r="B67" s="1" t="s">
        <v>76</v>
      </c>
      <c r="C67" s="144">
        <v>250</v>
      </c>
      <c r="D67" s="149">
        <v>45</v>
      </c>
      <c r="E67" s="185">
        <v>25</v>
      </c>
      <c r="F67" s="204">
        <v>25</v>
      </c>
      <c r="G67" s="14">
        <v>25</v>
      </c>
      <c r="H67" s="14">
        <v>25</v>
      </c>
      <c r="I67" s="14">
        <f>250-(+D67+E67+F67+G67+H67)</f>
        <v>105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X67" s="10">
        <f>+C67-D67-E67</f>
        <v>180</v>
      </c>
      <c r="Y67" s="5">
        <f>+X67*0.044</f>
        <v>7.92</v>
      </c>
    </row>
    <row r="68" spans="1:25" ht="12.75">
      <c r="A68" s="16" t="s">
        <v>39</v>
      </c>
      <c r="B68" s="1" t="s">
        <v>77</v>
      </c>
      <c r="C68" s="144">
        <v>16</v>
      </c>
      <c r="D68" s="149">
        <v>16</v>
      </c>
      <c r="E68" s="186">
        <v>-239</v>
      </c>
      <c r="F68" s="204"/>
      <c r="G68" s="14"/>
      <c r="H68" s="14"/>
      <c r="I68" s="34">
        <v>239</v>
      </c>
      <c r="J68" s="14"/>
      <c r="K68" s="14"/>
      <c r="L68" s="14"/>
      <c r="M68" s="134">
        <v>-150</v>
      </c>
      <c r="N68" s="14"/>
      <c r="O68" s="14"/>
      <c r="P68" s="134">
        <v>150</v>
      </c>
      <c r="Q68" s="14"/>
      <c r="R68" s="14"/>
      <c r="S68" s="14"/>
      <c r="T68" s="14"/>
      <c r="U68" s="14"/>
      <c r="V68" s="14"/>
      <c r="X68" s="10">
        <v>239</v>
      </c>
      <c r="Y68" s="5">
        <f>+X68*0.044</f>
        <v>10.516</v>
      </c>
    </row>
    <row r="69" spans="1:24" ht="12.75">
      <c r="A69" s="16" t="s">
        <v>39</v>
      </c>
      <c r="B69" s="1" t="s">
        <v>23</v>
      </c>
      <c r="C69" s="144">
        <v>35</v>
      </c>
      <c r="D69" s="149">
        <v>35</v>
      </c>
      <c r="E69" s="185"/>
      <c r="F69" s="20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f>+C69-D69</f>
        <v>0</v>
      </c>
    </row>
    <row r="70" spans="1:22" ht="12.75">
      <c r="A70" s="16"/>
      <c r="B70" s="1" t="s">
        <v>100</v>
      </c>
      <c r="C70" s="144"/>
      <c r="D70" s="149"/>
      <c r="E70" s="185">
        <v>0.3</v>
      </c>
      <c r="F70" s="20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5" ht="12.75">
      <c r="A71" s="16" t="s">
        <v>39</v>
      </c>
      <c r="B71" s="93" t="s">
        <v>32</v>
      </c>
      <c r="C71" s="145">
        <f>+X71</f>
        <v>184</v>
      </c>
      <c r="D71" s="149"/>
      <c r="E71" s="185"/>
      <c r="F71" s="20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>
        <v>184</v>
      </c>
      <c r="T71" s="14"/>
      <c r="U71" s="14"/>
      <c r="V71" s="14"/>
      <c r="X71" s="10">
        <f aca="true" t="shared" si="19" ref="X71:X80">SUM(D71:W71)</f>
        <v>184</v>
      </c>
      <c r="Y71" s="5">
        <f>+X71*0.0625</f>
        <v>11.5</v>
      </c>
    </row>
    <row r="72" spans="1:22" ht="12.75">
      <c r="A72" s="16" t="s">
        <v>39</v>
      </c>
      <c r="B72" s="18" t="s">
        <v>13</v>
      </c>
      <c r="C72" s="144"/>
      <c r="D72" s="149"/>
      <c r="E72" s="185"/>
      <c r="F72" s="20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5" ht="12.75">
      <c r="A73" s="16" t="s">
        <v>39</v>
      </c>
      <c r="B73" s="7" t="s">
        <v>25</v>
      </c>
      <c r="C73" s="145">
        <v>130</v>
      </c>
      <c r="D73" s="149"/>
      <c r="E73" s="185"/>
      <c r="F73" s="204"/>
      <c r="G73" s="14"/>
      <c r="H73" s="14"/>
      <c r="I73" s="14"/>
      <c r="J73" s="14"/>
      <c r="K73" s="14">
        <v>130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X73" s="10">
        <f t="shared" si="19"/>
        <v>130</v>
      </c>
      <c r="Y73" s="5">
        <f>+X73*0.065</f>
        <v>8.450000000000001</v>
      </c>
    </row>
    <row r="74" spans="1:25" ht="12.75">
      <c r="A74" s="16" t="s">
        <v>39</v>
      </c>
      <c r="B74" s="1" t="s">
        <v>24</v>
      </c>
      <c r="C74" s="145">
        <v>125</v>
      </c>
      <c r="D74" s="149"/>
      <c r="E74" s="185"/>
      <c r="F74" s="204"/>
      <c r="G74" s="14"/>
      <c r="H74" s="14"/>
      <c r="I74" s="14"/>
      <c r="J74" s="14"/>
      <c r="K74" s="14"/>
      <c r="L74" s="14">
        <v>125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X74" s="10">
        <f t="shared" si="19"/>
        <v>125</v>
      </c>
      <c r="Y74" s="5">
        <f>+X74*0.0685</f>
        <v>8.5625</v>
      </c>
    </row>
    <row r="75" spans="1:25" ht="12.75">
      <c r="A75" s="16" t="s">
        <v>39</v>
      </c>
      <c r="B75" s="1" t="s">
        <v>26</v>
      </c>
      <c r="C75" s="145">
        <v>255</v>
      </c>
      <c r="D75" s="149"/>
      <c r="E75" s="185"/>
      <c r="F75" s="204"/>
      <c r="G75" s="14"/>
      <c r="H75" s="14"/>
      <c r="I75" s="14"/>
      <c r="J75" s="14"/>
      <c r="K75" s="14"/>
      <c r="L75" s="14"/>
      <c r="M75" s="14"/>
      <c r="N75" s="14">
        <v>255</v>
      </c>
      <c r="O75" s="14"/>
      <c r="P75" s="14"/>
      <c r="Q75" s="14"/>
      <c r="R75" s="14"/>
      <c r="S75" s="14"/>
      <c r="T75" s="14"/>
      <c r="U75" s="14"/>
      <c r="V75" s="14"/>
      <c r="X75" s="10">
        <f t="shared" si="19"/>
        <v>255</v>
      </c>
      <c r="Y75" s="5">
        <f>+X75*0.0571</f>
        <v>14.5605</v>
      </c>
    </row>
    <row r="76" spans="1:25" ht="12.75">
      <c r="A76" s="16" t="s">
        <v>39</v>
      </c>
      <c r="B76" s="1" t="s">
        <v>27</v>
      </c>
      <c r="C76" s="145">
        <v>138</v>
      </c>
      <c r="D76" s="149"/>
      <c r="E76" s="185"/>
      <c r="F76" s="20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v>138</v>
      </c>
      <c r="R76" s="14"/>
      <c r="S76" s="14"/>
      <c r="T76" s="14"/>
      <c r="U76" s="14"/>
      <c r="V76" s="14"/>
      <c r="X76" s="10">
        <f t="shared" si="19"/>
        <v>138</v>
      </c>
      <c r="Y76" s="5">
        <f>+X76*0.073</f>
        <v>10.074</v>
      </c>
    </row>
    <row r="77" spans="1:25" ht="12.75">
      <c r="A77" s="16" t="s">
        <v>39</v>
      </c>
      <c r="B77" s="1" t="s">
        <v>28</v>
      </c>
      <c r="C77" s="145">
        <v>320</v>
      </c>
      <c r="D77" s="149"/>
      <c r="E77" s="185"/>
      <c r="F77" s="20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>
        <v>320</v>
      </c>
      <c r="S77" s="14"/>
      <c r="T77" s="14"/>
      <c r="U77" s="14"/>
      <c r="V77" s="14"/>
      <c r="X77" s="10">
        <f t="shared" si="19"/>
        <v>320</v>
      </c>
      <c r="Y77" s="5">
        <f>+X77*0.0525</f>
        <v>16.8</v>
      </c>
    </row>
    <row r="78" spans="1:25" ht="12.75">
      <c r="A78" s="16" t="s">
        <v>39</v>
      </c>
      <c r="B78" s="1" t="s">
        <v>29</v>
      </c>
      <c r="C78" s="145">
        <v>121</v>
      </c>
      <c r="D78" s="149"/>
      <c r="E78" s="185"/>
      <c r="F78" s="20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121</v>
      </c>
      <c r="V78" s="14"/>
      <c r="X78" s="10">
        <f t="shared" si="19"/>
        <v>121</v>
      </c>
      <c r="Y78" s="5">
        <f>+X78*0.0585</f>
        <v>7.0785</v>
      </c>
    </row>
    <row r="79" spans="1:25" ht="12.75">
      <c r="A79" s="16" t="s">
        <v>39</v>
      </c>
      <c r="B79" s="1" t="s">
        <v>30</v>
      </c>
      <c r="C79" s="145">
        <v>300</v>
      </c>
      <c r="D79" s="149"/>
      <c r="E79" s="185"/>
      <c r="F79" s="20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v>300</v>
      </c>
      <c r="X79" s="10">
        <f t="shared" si="19"/>
        <v>300</v>
      </c>
      <c r="Y79" s="5">
        <f>+X79*0.0775</f>
        <v>23.25</v>
      </c>
    </row>
    <row r="80" spans="1:25" ht="12.75">
      <c r="A80" s="16" t="s">
        <v>39</v>
      </c>
      <c r="B80" s="1" t="s">
        <v>31</v>
      </c>
      <c r="C80" s="145">
        <v>17</v>
      </c>
      <c r="D80" s="149"/>
      <c r="E80" s="185"/>
      <c r="F80" s="20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v>17</v>
      </c>
      <c r="X80" s="10">
        <f t="shared" si="19"/>
        <v>17</v>
      </c>
      <c r="Y80" s="5">
        <f>+X80*0.0625</f>
        <v>1.0625</v>
      </c>
    </row>
    <row r="81" spans="2:22" ht="12.75">
      <c r="B81" s="18" t="s">
        <v>65</v>
      </c>
      <c r="C81" s="33">
        <f>SUM(C67:C80)</f>
        <v>1891</v>
      </c>
      <c r="D81" s="149"/>
      <c r="E81" s="185"/>
      <c r="F81" s="20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5" s="15" customFormat="1" ht="13.5" thickBot="1">
      <c r="A82" s="16" t="s">
        <v>42</v>
      </c>
      <c r="B82" s="15" t="s">
        <v>50</v>
      </c>
      <c r="C82" s="146" t="s">
        <v>48</v>
      </c>
      <c r="D82" s="109">
        <f aca="true" t="shared" si="20" ref="D82:R82">-SUM(D65:D81)+D60</f>
        <v>84.15050000000002</v>
      </c>
      <c r="E82" s="187">
        <f t="shared" si="20"/>
        <v>225.8945</v>
      </c>
      <c r="F82" s="205">
        <f t="shared" si="20"/>
        <v>65.45666666666664</v>
      </c>
      <c r="G82" s="109">
        <f t="shared" si="20"/>
        <v>44.332202666666674</v>
      </c>
      <c r="H82" s="109">
        <f t="shared" si="20"/>
        <v>40.03423750866668</v>
      </c>
      <c r="I82" s="109">
        <f t="shared" si="20"/>
        <v>-297.059927452423</v>
      </c>
      <c r="J82" s="109">
        <f t="shared" si="20"/>
        <v>58.130186103715204</v>
      </c>
      <c r="K82" s="109">
        <f t="shared" si="20"/>
        <v>-73.53019173234594</v>
      </c>
      <c r="L82" s="109">
        <f t="shared" si="20"/>
        <v>-69.31762996596896</v>
      </c>
      <c r="M82" s="109">
        <f t="shared" si="20"/>
        <v>191.49210711261588</v>
      </c>
      <c r="N82" s="109">
        <f t="shared" si="20"/>
        <v>-199.27374364215513</v>
      </c>
      <c r="O82" s="109">
        <f t="shared" si="20"/>
        <v>53.48887707909287</v>
      </c>
      <c r="P82" s="109">
        <f t="shared" si="20"/>
        <v>-98.58591246387165</v>
      </c>
      <c r="Q82" s="109">
        <f t="shared" si="20"/>
        <v>69.83035014451343</v>
      </c>
      <c r="R82" s="109">
        <f t="shared" si="20"/>
        <v>-109.68214964741037</v>
      </c>
      <c r="S82" s="109">
        <f>-SUM(S65:S81)+S60</f>
        <v>50.43159710001095</v>
      </c>
      <c r="T82" s="109">
        <f>-SUM(T65:T81)+T60</f>
        <v>259.82152848507616</v>
      </c>
      <c r="U82" s="109">
        <f>-SUM(U65:U81)+U60</f>
        <v>180.43004380463282</v>
      </c>
      <c r="V82" s="109">
        <f>-SUM(V65:V81)+V60</f>
        <v>55.27395892212297</v>
      </c>
      <c r="W82" s="33"/>
      <c r="X82" s="52">
        <f>SUM(X65:X81)</f>
        <v>2009</v>
      </c>
      <c r="Y82" s="52">
        <f>SUM(Y65:Y81)</f>
        <v>119.774</v>
      </c>
    </row>
    <row r="83" spans="3:23" ht="14.25" thickBot="1" thickTop="1">
      <c r="C83" s="4"/>
      <c r="D83" s="149"/>
      <c r="E83" s="185"/>
      <c r="F83" s="20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4"/>
    </row>
    <row r="84" spans="1:25" s="15" customFormat="1" ht="13.5" thickBot="1">
      <c r="A84" s="106" t="s">
        <v>49</v>
      </c>
      <c r="B84" s="107" t="s">
        <v>21</v>
      </c>
      <c r="C84" s="147"/>
      <c r="D84" s="131">
        <f>+D82</f>
        <v>84.15050000000002</v>
      </c>
      <c r="E84" s="131">
        <f>+D84+E82</f>
        <v>310.045</v>
      </c>
      <c r="F84" s="206">
        <f aca="true" t="shared" si="21" ref="F84:R84">+E84+F82</f>
        <v>375.50166666666667</v>
      </c>
      <c r="G84" s="111">
        <f t="shared" si="21"/>
        <v>419.8338693333333</v>
      </c>
      <c r="H84" s="111">
        <f t="shared" si="21"/>
        <v>459.868106842</v>
      </c>
      <c r="I84" s="111">
        <f t="shared" si="21"/>
        <v>162.808179389577</v>
      </c>
      <c r="J84" s="111">
        <f t="shared" si="21"/>
        <v>220.9383654932922</v>
      </c>
      <c r="K84" s="111">
        <f t="shared" si="21"/>
        <v>147.40817376094626</v>
      </c>
      <c r="L84" s="112">
        <f t="shared" si="21"/>
        <v>78.0905437949773</v>
      </c>
      <c r="M84" s="111">
        <f t="shared" si="21"/>
        <v>269.5826509075932</v>
      </c>
      <c r="N84" s="112">
        <f t="shared" si="21"/>
        <v>70.30890726543805</v>
      </c>
      <c r="O84" s="111">
        <f t="shared" si="21"/>
        <v>123.79778434453092</v>
      </c>
      <c r="P84" s="111">
        <f t="shared" si="21"/>
        <v>25.211871880659274</v>
      </c>
      <c r="Q84" s="111">
        <f t="shared" si="21"/>
        <v>95.0422220251727</v>
      </c>
      <c r="R84" s="112">
        <f t="shared" si="21"/>
        <v>-14.639927622237664</v>
      </c>
      <c r="S84" s="131">
        <f>+R84+S82</f>
        <v>35.79166947777328</v>
      </c>
      <c r="T84" s="131">
        <f>+S84+T82</f>
        <v>295.6131979628494</v>
      </c>
      <c r="U84" s="131">
        <f>+T84+U82</f>
        <v>476.04324176748224</v>
      </c>
      <c r="V84" s="131">
        <f>+U84+V82</f>
        <v>531.3172006896052</v>
      </c>
      <c r="W84" s="33"/>
      <c r="X84" s="35"/>
      <c r="Y84" s="17"/>
    </row>
    <row r="85" spans="1:25" s="167" customFormat="1" ht="12.75">
      <c r="A85" s="30"/>
      <c r="C85" s="208"/>
      <c r="D85" s="207"/>
      <c r="E85" s="207"/>
      <c r="F85" s="207"/>
      <c r="G85" s="209"/>
      <c r="H85" s="209"/>
      <c r="I85" s="209"/>
      <c r="J85" s="209"/>
      <c r="K85" s="209"/>
      <c r="L85" s="207"/>
      <c r="M85" s="209"/>
      <c r="N85" s="207"/>
      <c r="O85" s="209"/>
      <c r="P85" s="209"/>
      <c r="Q85" s="209"/>
      <c r="R85" s="207"/>
      <c r="S85" s="207"/>
      <c r="T85" s="207"/>
      <c r="U85" s="207"/>
      <c r="V85" s="207"/>
      <c r="W85" s="208"/>
      <c r="X85" s="210"/>
      <c r="Y85" s="211"/>
    </row>
    <row r="86" spans="1:25" s="225" customFormat="1" ht="15.75">
      <c r="A86" s="228"/>
      <c r="B86" s="233" t="s">
        <v>122</v>
      </c>
      <c r="C86" s="234"/>
      <c r="D86" s="234">
        <f>-SUM(D66:D80)</f>
        <v>-96</v>
      </c>
      <c r="E86" s="234">
        <f aca="true" t="shared" si="22" ref="E86:V86">-SUM(E66:E80)</f>
        <v>213.7</v>
      </c>
      <c r="F86" s="234">
        <f t="shared" si="22"/>
        <v>-25</v>
      </c>
      <c r="G86" s="234">
        <f t="shared" si="22"/>
        <v>-25</v>
      </c>
      <c r="H86" s="234">
        <f t="shared" si="22"/>
        <v>-25</v>
      </c>
      <c r="I86" s="234">
        <f t="shared" si="22"/>
        <v>-344</v>
      </c>
      <c r="J86" s="234">
        <f t="shared" si="22"/>
        <v>0</v>
      </c>
      <c r="K86" s="234">
        <f t="shared" si="22"/>
        <v>-130</v>
      </c>
      <c r="L86" s="234">
        <f t="shared" si="22"/>
        <v>-125</v>
      </c>
      <c r="M86" s="234">
        <f t="shared" si="22"/>
        <v>150</v>
      </c>
      <c r="N86" s="234">
        <f t="shared" si="22"/>
        <v>-255</v>
      </c>
      <c r="O86" s="234">
        <f t="shared" si="22"/>
        <v>0</v>
      </c>
      <c r="P86" s="234">
        <f t="shared" si="22"/>
        <v>-150</v>
      </c>
      <c r="Q86" s="234">
        <f t="shared" si="22"/>
        <v>-138</v>
      </c>
      <c r="R86" s="234">
        <f t="shared" si="22"/>
        <v>-320</v>
      </c>
      <c r="S86" s="234">
        <f t="shared" si="22"/>
        <v>-184</v>
      </c>
      <c r="T86" s="234">
        <f t="shared" si="22"/>
        <v>0</v>
      </c>
      <c r="U86" s="234">
        <f t="shared" si="22"/>
        <v>-121</v>
      </c>
      <c r="V86" s="235">
        <f t="shared" si="22"/>
        <v>-317</v>
      </c>
      <c r="W86" s="232"/>
      <c r="X86" s="236"/>
      <c r="Y86" s="237"/>
    </row>
    <row r="87" spans="1:25" s="242" customFormat="1" ht="15.75">
      <c r="A87" s="238"/>
      <c r="B87" s="233" t="s">
        <v>121</v>
      </c>
      <c r="C87" s="234">
        <v>1891</v>
      </c>
      <c r="D87" s="234">
        <f>+C87+D86</f>
        <v>1795</v>
      </c>
      <c r="E87" s="234">
        <f aca="true" t="shared" si="23" ref="E87:V87">+D87+E86</f>
        <v>2008.7</v>
      </c>
      <c r="F87" s="234">
        <f t="shared" si="23"/>
        <v>1983.7</v>
      </c>
      <c r="G87" s="234">
        <f t="shared" si="23"/>
        <v>1958.7</v>
      </c>
      <c r="H87" s="234">
        <f t="shared" si="23"/>
        <v>1933.7</v>
      </c>
      <c r="I87" s="234">
        <f t="shared" si="23"/>
        <v>1589.7</v>
      </c>
      <c r="J87" s="234">
        <f t="shared" si="23"/>
        <v>1589.7</v>
      </c>
      <c r="K87" s="234">
        <f t="shared" si="23"/>
        <v>1459.7</v>
      </c>
      <c r="L87" s="234">
        <f t="shared" si="23"/>
        <v>1334.7</v>
      </c>
      <c r="M87" s="234">
        <f t="shared" si="23"/>
        <v>1484.7</v>
      </c>
      <c r="N87" s="234">
        <f t="shared" si="23"/>
        <v>1229.7</v>
      </c>
      <c r="O87" s="234">
        <f t="shared" si="23"/>
        <v>1229.7</v>
      </c>
      <c r="P87" s="234">
        <f t="shared" si="23"/>
        <v>1079.7</v>
      </c>
      <c r="Q87" s="234">
        <f t="shared" si="23"/>
        <v>941.7</v>
      </c>
      <c r="R87" s="234">
        <f t="shared" si="23"/>
        <v>621.7</v>
      </c>
      <c r="S87" s="234">
        <f t="shared" si="23"/>
        <v>437.70000000000005</v>
      </c>
      <c r="T87" s="234">
        <f t="shared" si="23"/>
        <v>437.70000000000005</v>
      </c>
      <c r="U87" s="234">
        <f t="shared" si="23"/>
        <v>316.70000000000005</v>
      </c>
      <c r="V87" s="235">
        <f t="shared" si="23"/>
        <v>-0.2999999999999545</v>
      </c>
      <c r="W87" s="239"/>
      <c r="X87" s="240"/>
      <c r="Y87" s="241"/>
    </row>
    <row r="88" spans="1:25" s="15" customFormat="1" ht="12.75">
      <c r="A88" s="16"/>
      <c r="B88" s="114" t="s">
        <v>91</v>
      </c>
      <c r="C88" s="115"/>
      <c r="D88" s="116"/>
      <c r="E88" s="116">
        <f>+((+G97+G98+G99)/4)</f>
        <v>5.584875</v>
      </c>
      <c r="F88" s="116">
        <f>+E88+5.6</f>
        <v>11.184875</v>
      </c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7"/>
      <c r="W88" s="33"/>
      <c r="X88" s="35"/>
      <c r="Y88" s="17"/>
    </row>
    <row r="89" spans="1:25" s="15" customFormat="1" ht="12.75">
      <c r="A89" s="16"/>
      <c r="D89" s="96"/>
      <c r="E89" s="34"/>
      <c r="F89" s="34"/>
      <c r="G89" s="34"/>
      <c r="H89" s="34"/>
      <c r="I89" s="34"/>
      <c r="J89" s="34"/>
      <c r="K89" s="34"/>
      <c r="L89" s="96"/>
      <c r="M89" s="34"/>
      <c r="N89" s="96"/>
      <c r="O89" s="34"/>
      <c r="P89" s="34"/>
      <c r="Q89" s="34"/>
      <c r="R89" s="34"/>
      <c r="S89" s="34"/>
      <c r="T89" s="34"/>
      <c r="U89" s="34"/>
      <c r="V89" s="34"/>
      <c r="W89" s="33"/>
      <c r="X89" s="35"/>
      <c r="Y89" s="17"/>
    </row>
    <row r="90" ht="12.75">
      <c r="B90" s="50" t="s">
        <v>47</v>
      </c>
    </row>
    <row r="91" spans="2:21" ht="12.75">
      <c r="B91" s="50"/>
      <c r="U91" t="s">
        <v>82</v>
      </c>
    </row>
    <row r="92" spans="2:24" ht="12.75">
      <c r="B92" s="50"/>
      <c r="U92" t="s">
        <v>83</v>
      </c>
      <c r="W92" t="s">
        <v>109</v>
      </c>
      <c r="X92" s="10">
        <f>-310-X93</f>
        <v>-71</v>
      </c>
    </row>
    <row r="93" spans="2:24" ht="12.75">
      <c r="B93" s="50"/>
      <c r="D93" s="80"/>
      <c r="E93" s="81" t="s">
        <v>62</v>
      </c>
      <c r="F93" s="82"/>
      <c r="G93" s="83"/>
      <c r="W93" t="s">
        <v>85</v>
      </c>
      <c r="X93" s="10">
        <v>-239</v>
      </c>
    </row>
    <row r="94" spans="2:24" ht="12.75">
      <c r="B94" s="50"/>
      <c r="D94" s="55" t="s">
        <v>22</v>
      </c>
      <c r="E94" s="79" t="s">
        <v>81</v>
      </c>
      <c r="F94" s="56" t="s">
        <v>80</v>
      </c>
      <c r="G94" s="56" t="s">
        <v>17</v>
      </c>
      <c r="U94" t="s">
        <v>87</v>
      </c>
      <c r="X94" s="10">
        <v>-184</v>
      </c>
    </row>
    <row r="95" spans="2:24" ht="13.5" thickBot="1">
      <c r="B95" s="50"/>
      <c r="C95" s="6" t="s">
        <v>14</v>
      </c>
      <c r="D95" s="6">
        <v>1</v>
      </c>
      <c r="E95" s="14">
        <v>251.1</v>
      </c>
      <c r="F95" s="5">
        <v>10.045872</v>
      </c>
      <c r="G95" s="5">
        <f>10*25*0.0425</f>
        <v>10.625</v>
      </c>
      <c r="U95" t="s">
        <v>86</v>
      </c>
      <c r="X95" s="84">
        <f>SUM(X82:X94)</f>
        <v>1515</v>
      </c>
    </row>
    <row r="96" spans="2:7" ht="13.5" thickTop="1">
      <c r="B96" s="50"/>
      <c r="C96" s="6" t="s">
        <v>37</v>
      </c>
      <c r="D96" s="6">
        <v>2</v>
      </c>
      <c r="E96" s="14">
        <v>151.6</v>
      </c>
      <c r="F96" s="5">
        <v>6.062128</v>
      </c>
      <c r="G96" s="5">
        <f>6*1.25</f>
        <v>7.5</v>
      </c>
    </row>
    <row r="97" spans="2:7" ht="13.5" thickBot="1">
      <c r="B97" s="50"/>
      <c r="C97" s="6" t="s">
        <v>38</v>
      </c>
      <c r="D97" s="6">
        <v>3</v>
      </c>
      <c r="E97" s="14">
        <f>203</f>
        <v>203</v>
      </c>
      <c r="F97" s="5">
        <v>8.1209</v>
      </c>
      <c r="G97" s="5">
        <f>203*0.0675</f>
        <v>13.7025</v>
      </c>
    </row>
    <row r="98" spans="3:24" ht="18.75" thickBot="1">
      <c r="C98" s="6" t="s">
        <v>39</v>
      </c>
      <c r="D98" s="6">
        <v>5</v>
      </c>
      <c r="E98" s="14">
        <f>123</f>
        <v>123</v>
      </c>
      <c r="F98" s="5">
        <v>4.91992</v>
      </c>
      <c r="G98" s="5">
        <f>123*0.069</f>
        <v>8.487</v>
      </c>
      <c r="S98" s="18" t="s">
        <v>64</v>
      </c>
      <c r="T98" s="93" t="s">
        <v>55</v>
      </c>
      <c r="U98" t="s">
        <v>54</v>
      </c>
      <c r="V98" s="14">
        <f>(+$E$23+$F$23)*2*0+146.1*4</f>
        <v>584.4</v>
      </c>
      <c r="W98" s="16" t="s">
        <v>63</v>
      </c>
      <c r="X98" s="64">
        <f>+X95/+(V98)</f>
        <v>2.5924024640657084</v>
      </c>
    </row>
    <row r="99" spans="4:24" ht="12.75">
      <c r="D99" s="6">
        <v>7</v>
      </c>
      <c r="E99" s="14">
        <v>2.9</v>
      </c>
      <c r="F99" s="5">
        <v>0.383333</v>
      </c>
      <c r="G99" s="5">
        <f>3*0.05</f>
        <v>0.15000000000000002</v>
      </c>
      <c r="S99" s="1"/>
      <c r="T99" s="1"/>
      <c r="X99" s="51"/>
    </row>
    <row r="100" spans="5:25" ht="13.5" thickBot="1">
      <c r="E100" s="14"/>
      <c r="X100" s="1" t="s">
        <v>58</v>
      </c>
      <c r="Y100" s="53">
        <f>+Y82*0.5</f>
        <v>59.887</v>
      </c>
    </row>
    <row r="101" spans="4:25" ht="18.75" thickBot="1">
      <c r="D101" s="15" t="s">
        <v>35</v>
      </c>
      <c r="E101" s="32">
        <f>SUM(E95:E100)</f>
        <v>731.6</v>
      </c>
      <c r="F101" s="54">
        <f>SUM(F95:F100)</f>
        <v>29.532153000000005</v>
      </c>
      <c r="G101" s="54">
        <f>SUM(G95:G100)</f>
        <v>40.4645</v>
      </c>
      <c r="S101" s="18" t="s">
        <v>56</v>
      </c>
      <c r="T101" s="93" t="s">
        <v>55</v>
      </c>
      <c r="U101" t="s">
        <v>54</v>
      </c>
      <c r="V101" s="14">
        <f>(+$E$23+$F$23)</f>
        <v>291.2</v>
      </c>
      <c r="X101" s="23" t="s">
        <v>57</v>
      </c>
      <c r="Y101" s="62">
        <f>+V101/Y100</f>
        <v>4.862491024763304</v>
      </c>
    </row>
    <row r="102" ht="13.5" thickTop="1"/>
    <row r="103" ht="12.75">
      <c r="B103" s="78"/>
    </row>
    <row r="108" ht="12.75">
      <c r="L108" s="77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13" ht="31.5">
      <c r="B1" s="104" t="s">
        <v>119</v>
      </c>
      <c r="G1" s="57"/>
      <c r="H1" s="58"/>
      <c r="I1" s="57"/>
      <c r="J1" s="58" t="s">
        <v>108</v>
      </c>
      <c r="K1" s="57"/>
      <c r="L1" s="57"/>
      <c r="M1" s="57"/>
    </row>
    <row r="2" spans="1:25" s="89" customFormat="1" ht="24.75" customHeight="1">
      <c r="A2" s="29"/>
      <c r="B2" s="88"/>
      <c r="H2" s="90"/>
      <c r="J2" s="230" t="s">
        <v>127</v>
      </c>
      <c r="X2" s="91"/>
      <c r="Y2" s="92"/>
    </row>
    <row r="3" spans="2:6" ht="20.25">
      <c r="B3" s="105" t="s">
        <v>97</v>
      </c>
      <c r="C3" s="86"/>
      <c r="D3" s="176"/>
      <c r="E3" s="95"/>
      <c r="F3" s="87"/>
    </row>
    <row r="4" spans="1:25" s="18" customFormat="1" ht="13.5" thickBot="1">
      <c r="A4" s="16"/>
      <c r="C4" s="135"/>
      <c r="D4" s="166" t="s">
        <v>18</v>
      </c>
      <c r="E4" s="41" t="s">
        <v>0</v>
      </c>
      <c r="F4" s="19" t="s">
        <v>1</v>
      </c>
      <c r="G4" s="19" t="s">
        <v>2</v>
      </c>
      <c r="H4" s="19" t="s">
        <v>3</v>
      </c>
      <c r="I4" s="20" t="s">
        <v>4</v>
      </c>
      <c r="J4" s="20" t="s">
        <v>5</v>
      </c>
      <c r="K4" s="20" t="s">
        <v>6</v>
      </c>
      <c r="L4" s="20" t="s">
        <v>7</v>
      </c>
      <c r="M4" s="21" t="s">
        <v>8</v>
      </c>
      <c r="N4" s="21" t="s">
        <v>9</v>
      </c>
      <c r="O4" s="21" t="s">
        <v>10</v>
      </c>
      <c r="P4" s="21" t="s">
        <v>11</v>
      </c>
      <c r="Q4" s="18">
        <v>2015</v>
      </c>
      <c r="R4" s="18">
        <v>2016</v>
      </c>
      <c r="S4" s="18">
        <v>2017</v>
      </c>
      <c r="T4" s="18">
        <v>2018</v>
      </c>
      <c r="U4" s="18">
        <v>2019</v>
      </c>
      <c r="V4" s="18">
        <v>2020</v>
      </c>
      <c r="W4" s="16"/>
      <c r="X4" s="23"/>
      <c r="Y4" s="22"/>
    </row>
    <row r="5" spans="2:25" s="120" customFormat="1" ht="17.25" thickBot="1">
      <c r="B5" s="127" t="s">
        <v>92</v>
      </c>
      <c r="C5" s="128"/>
      <c r="D5" s="177"/>
      <c r="E5" s="174"/>
      <c r="F5" s="129"/>
      <c r="G5" s="129">
        <v>0.0225</v>
      </c>
      <c r="H5" s="130">
        <f aca="true" t="shared" si="0" ref="H5:O6">+G5</f>
        <v>0.0225</v>
      </c>
      <c r="I5" s="129">
        <f t="shared" si="0"/>
        <v>0.0225</v>
      </c>
      <c r="J5" s="129">
        <f t="shared" si="0"/>
        <v>0.0225</v>
      </c>
      <c r="K5" s="129">
        <f t="shared" si="0"/>
        <v>0.0225</v>
      </c>
      <c r="L5" s="130">
        <f t="shared" si="0"/>
        <v>0.0225</v>
      </c>
      <c r="M5" s="172">
        <f t="shared" si="0"/>
        <v>0.0225</v>
      </c>
      <c r="N5" s="129">
        <f t="shared" si="0"/>
        <v>0.0225</v>
      </c>
      <c r="O5" s="129">
        <f t="shared" si="0"/>
        <v>0.0225</v>
      </c>
      <c r="P5" s="130">
        <f>+O5</f>
        <v>0.0225</v>
      </c>
      <c r="Q5" s="170">
        <v>0.15</v>
      </c>
      <c r="R5" s="170">
        <v>0.15</v>
      </c>
      <c r="S5" s="130">
        <v>0.15</v>
      </c>
      <c r="T5" s="130">
        <v>0.15</v>
      </c>
      <c r="U5" s="130">
        <v>0.15</v>
      </c>
      <c r="V5" s="130">
        <v>0.15</v>
      </c>
      <c r="X5" s="125"/>
      <c r="Y5" s="126"/>
    </row>
    <row r="6" spans="2:25" s="120" customFormat="1" ht="17.25" thickBot="1">
      <c r="B6" s="121" t="s">
        <v>93</v>
      </c>
      <c r="C6" s="122"/>
      <c r="D6" s="122"/>
      <c r="E6" s="171"/>
      <c r="F6" s="189"/>
      <c r="G6" s="123">
        <v>-0.044</v>
      </c>
      <c r="H6" s="124">
        <f t="shared" si="0"/>
        <v>-0.044</v>
      </c>
      <c r="I6" s="173">
        <f t="shared" si="0"/>
        <v>-0.044</v>
      </c>
      <c r="J6" s="123">
        <f t="shared" si="0"/>
        <v>-0.044</v>
      </c>
      <c r="K6" s="123">
        <f t="shared" si="0"/>
        <v>-0.044</v>
      </c>
      <c r="L6" s="124">
        <f t="shared" si="0"/>
        <v>-0.044</v>
      </c>
      <c r="M6" s="173">
        <f t="shared" si="0"/>
        <v>-0.044</v>
      </c>
      <c r="N6" s="123">
        <f t="shared" si="0"/>
        <v>-0.044</v>
      </c>
      <c r="O6" s="123">
        <f t="shared" si="0"/>
        <v>-0.044</v>
      </c>
      <c r="P6" s="124">
        <f>+O6</f>
        <v>-0.044</v>
      </c>
      <c r="Q6" s="171">
        <v>-0.15</v>
      </c>
      <c r="R6" s="171">
        <v>-0.15</v>
      </c>
      <c r="S6" s="124">
        <v>-0.1</v>
      </c>
      <c r="T6" s="124">
        <v>-0.05</v>
      </c>
      <c r="U6" s="124">
        <v>0</v>
      </c>
      <c r="V6" s="124">
        <v>0</v>
      </c>
      <c r="X6" s="125"/>
      <c r="Y6" s="126"/>
    </row>
    <row r="7" spans="2:6" ht="20.25">
      <c r="B7" s="85"/>
      <c r="C7" s="86"/>
      <c r="D7" s="86"/>
      <c r="E7" s="95"/>
      <c r="F7" s="190"/>
    </row>
    <row r="8" spans="1:25" s="15" customFormat="1" ht="15.75">
      <c r="A8" s="16"/>
      <c r="D8" s="146"/>
      <c r="E8" s="181"/>
      <c r="F8" s="191" t="s">
        <v>53</v>
      </c>
      <c r="X8" s="23"/>
      <c r="Y8" s="22"/>
    </row>
    <row r="9" spans="1:25" s="18" customFormat="1" ht="12.75">
      <c r="A9" s="16"/>
      <c r="C9" s="135" t="s">
        <v>34</v>
      </c>
      <c r="D9" s="166" t="s">
        <v>18</v>
      </c>
      <c r="E9" s="188" t="s">
        <v>0</v>
      </c>
      <c r="F9" s="192" t="s">
        <v>1</v>
      </c>
      <c r="G9" s="19" t="s">
        <v>2</v>
      </c>
      <c r="H9" s="19" t="s">
        <v>3</v>
      </c>
      <c r="I9" s="20" t="s">
        <v>4</v>
      </c>
      <c r="J9" s="20" t="s">
        <v>5</v>
      </c>
      <c r="K9" s="20" t="s">
        <v>6</v>
      </c>
      <c r="L9" s="20" t="s">
        <v>7</v>
      </c>
      <c r="M9" s="21" t="s">
        <v>8</v>
      </c>
      <c r="N9" s="21" t="s">
        <v>9</v>
      </c>
      <c r="O9" s="21" t="s">
        <v>10</v>
      </c>
      <c r="P9" s="21" t="s">
        <v>11</v>
      </c>
      <c r="Q9" s="18">
        <v>2015</v>
      </c>
      <c r="R9" s="18">
        <v>2016</v>
      </c>
      <c r="S9" s="18">
        <v>2017</v>
      </c>
      <c r="T9" s="18">
        <v>2018</v>
      </c>
      <c r="U9" s="18">
        <v>2019</v>
      </c>
      <c r="V9" s="18">
        <v>2020</v>
      </c>
      <c r="W9" s="16" t="s">
        <v>43</v>
      </c>
      <c r="X9" s="23"/>
      <c r="Y9" s="22"/>
    </row>
    <row r="10" spans="1:25" s="2" customFormat="1" ht="12.75">
      <c r="A10" s="29"/>
      <c r="B10" s="48" t="s">
        <v>54</v>
      </c>
      <c r="C10" s="136"/>
      <c r="D10" s="140"/>
      <c r="E10" s="140"/>
      <c r="F10" s="193"/>
      <c r="X10" s="9"/>
      <c r="Y10" s="11"/>
    </row>
    <row r="11" spans="1:25" s="2" customFormat="1" ht="12.75">
      <c r="A11" s="29"/>
      <c r="B11" s="94"/>
      <c r="C11" s="136"/>
      <c r="D11" s="140"/>
      <c r="E11" s="140"/>
      <c r="F11" s="193"/>
      <c r="X11" s="9"/>
      <c r="Y11" s="11"/>
    </row>
    <row r="12" spans="1:25" s="2" customFormat="1" ht="12.75">
      <c r="A12" s="29"/>
      <c r="B12" s="65" t="s">
        <v>67</v>
      </c>
      <c r="C12" s="136"/>
      <c r="D12" s="148">
        <v>90</v>
      </c>
      <c r="E12" s="148">
        <v>85.9</v>
      </c>
      <c r="F12" s="194">
        <v>89.7</v>
      </c>
      <c r="G12" s="12">
        <f aca="true" t="shared" si="1" ref="G12:P12">+F12*(1+G13)</f>
        <v>91.71825</v>
      </c>
      <c r="H12" s="12">
        <f t="shared" si="1"/>
        <v>93.781910625</v>
      </c>
      <c r="I12" s="12">
        <f t="shared" si="1"/>
        <v>95.89200361406249</v>
      </c>
      <c r="J12" s="12">
        <f t="shared" si="1"/>
        <v>98.0495736953789</v>
      </c>
      <c r="K12" s="12">
        <f t="shared" si="1"/>
        <v>100.25568910352492</v>
      </c>
      <c r="L12" s="12">
        <f t="shared" si="1"/>
        <v>102.51144210835422</v>
      </c>
      <c r="M12" s="12">
        <f t="shared" si="1"/>
        <v>104.81794955579218</v>
      </c>
      <c r="N12" s="12">
        <f t="shared" si="1"/>
        <v>107.1763534207975</v>
      </c>
      <c r="O12" s="12">
        <f t="shared" si="1"/>
        <v>109.58782137276543</v>
      </c>
      <c r="P12" s="12">
        <f t="shared" si="1"/>
        <v>112.05354735365265</v>
      </c>
      <c r="Q12" s="12">
        <f>+P12*4</f>
        <v>448.2141894146106</v>
      </c>
      <c r="R12" s="12">
        <f>+Q12*(1+R13)</f>
        <v>515.4463178268021</v>
      </c>
      <c r="S12" s="12">
        <f>+R12*(1+S13)</f>
        <v>592.7632655008224</v>
      </c>
      <c r="T12" s="12">
        <f>+S12*(1+T13)</f>
        <v>681.6777553259457</v>
      </c>
      <c r="U12" s="12">
        <f>+T12*(1+U13)</f>
        <v>783.9294186248375</v>
      </c>
      <c r="V12" s="12">
        <f>+U12*(1+V13)</f>
        <v>901.518831418563</v>
      </c>
      <c r="X12" s="9"/>
      <c r="Y12" s="11"/>
    </row>
    <row r="13" spans="1:25" s="2" customFormat="1" ht="12.75">
      <c r="A13" s="29"/>
      <c r="B13" s="66" t="s">
        <v>70</v>
      </c>
      <c r="C13" s="137"/>
      <c r="D13" s="137"/>
      <c r="E13" s="182"/>
      <c r="F13" s="195"/>
      <c r="G13" s="70">
        <f aca="true" t="shared" si="2" ref="G13:R13">+G5</f>
        <v>0.0225</v>
      </c>
      <c r="H13" s="70">
        <f t="shared" si="2"/>
        <v>0.0225</v>
      </c>
      <c r="I13" s="70">
        <f t="shared" si="2"/>
        <v>0.0225</v>
      </c>
      <c r="J13" s="70">
        <f t="shared" si="2"/>
        <v>0.0225</v>
      </c>
      <c r="K13" s="70">
        <f t="shared" si="2"/>
        <v>0.0225</v>
      </c>
      <c r="L13" s="70">
        <f t="shared" si="2"/>
        <v>0.0225</v>
      </c>
      <c r="M13" s="70">
        <f t="shared" si="2"/>
        <v>0.0225</v>
      </c>
      <c r="N13" s="70">
        <f t="shared" si="2"/>
        <v>0.0225</v>
      </c>
      <c r="O13" s="70">
        <f t="shared" si="2"/>
        <v>0.0225</v>
      </c>
      <c r="P13" s="70">
        <f t="shared" si="2"/>
        <v>0.0225</v>
      </c>
      <c r="Q13" s="70">
        <f t="shared" si="2"/>
        <v>0.15</v>
      </c>
      <c r="R13" s="70">
        <f t="shared" si="2"/>
        <v>0.15</v>
      </c>
      <c r="S13" s="70">
        <f>+S5</f>
        <v>0.15</v>
      </c>
      <c r="T13" s="70">
        <f>+T5</f>
        <v>0.15</v>
      </c>
      <c r="U13" s="70">
        <f>+U5</f>
        <v>0.15</v>
      </c>
      <c r="V13" s="70">
        <f>+V5</f>
        <v>0.15</v>
      </c>
      <c r="X13" s="9"/>
      <c r="Y13" s="11"/>
    </row>
    <row r="14" spans="1:22" s="102" customFormat="1" ht="12.75">
      <c r="A14" s="100"/>
      <c r="B14" s="101" t="s">
        <v>106</v>
      </c>
      <c r="C14" s="98"/>
      <c r="D14" s="98">
        <v>0.394</v>
      </c>
      <c r="E14" s="98">
        <v>0.4</v>
      </c>
      <c r="F14" s="196">
        <f aca="true" t="shared" si="3" ref="F14:R14">+E14</f>
        <v>0.4</v>
      </c>
      <c r="G14" s="102">
        <f t="shared" si="3"/>
        <v>0.4</v>
      </c>
      <c r="H14" s="102">
        <f t="shared" si="3"/>
        <v>0.4</v>
      </c>
      <c r="I14" s="102">
        <f t="shared" si="3"/>
        <v>0.4</v>
      </c>
      <c r="J14" s="102">
        <f t="shared" si="3"/>
        <v>0.4</v>
      </c>
      <c r="K14" s="102">
        <f t="shared" si="3"/>
        <v>0.4</v>
      </c>
      <c r="L14" s="102">
        <f t="shared" si="3"/>
        <v>0.4</v>
      </c>
      <c r="M14" s="102">
        <f t="shared" si="3"/>
        <v>0.4</v>
      </c>
      <c r="N14" s="102">
        <f t="shared" si="3"/>
        <v>0.4</v>
      </c>
      <c r="O14" s="102">
        <f t="shared" si="3"/>
        <v>0.4</v>
      </c>
      <c r="P14" s="102">
        <f t="shared" si="3"/>
        <v>0.4</v>
      </c>
      <c r="Q14" s="102">
        <f t="shared" si="3"/>
        <v>0.4</v>
      </c>
      <c r="R14" s="102">
        <f t="shared" si="3"/>
        <v>0.4</v>
      </c>
      <c r="S14" s="102">
        <f>+R14</f>
        <v>0.4</v>
      </c>
      <c r="T14" s="102">
        <f>+S14</f>
        <v>0.4</v>
      </c>
      <c r="U14" s="102">
        <f>+T14</f>
        <v>0.4</v>
      </c>
      <c r="V14" s="102">
        <f>+U14</f>
        <v>0.4</v>
      </c>
    </row>
    <row r="15" spans="1:25" s="2" customFormat="1" ht="12.75">
      <c r="A15" s="29"/>
      <c r="B15" s="25" t="s">
        <v>69</v>
      </c>
      <c r="C15" s="136"/>
      <c r="D15" s="73">
        <f>+D12*D14</f>
        <v>35.46</v>
      </c>
      <c r="E15" s="73">
        <f>+E12*E14</f>
        <v>34.36000000000001</v>
      </c>
      <c r="F15" s="197">
        <f aca="true" t="shared" si="4" ref="F15:R15">+F12*F14</f>
        <v>35.88</v>
      </c>
      <c r="G15" s="73">
        <f t="shared" si="4"/>
        <v>36.6873</v>
      </c>
      <c r="H15" s="73">
        <f t="shared" si="4"/>
        <v>37.51276425</v>
      </c>
      <c r="I15" s="73">
        <f t="shared" si="4"/>
        <v>38.356801445624995</v>
      </c>
      <c r="J15" s="73">
        <f t="shared" si="4"/>
        <v>39.21982947815156</v>
      </c>
      <c r="K15" s="73">
        <f t="shared" si="4"/>
        <v>40.10227564140997</v>
      </c>
      <c r="L15" s="73">
        <f t="shared" si="4"/>
        <v>41.00457684334169</v>
      </c>
      <c r="M15" s="73">
        <f t="shared" si="4"/>
        <v>41.92717982231687</v>
      </c>
      <c r="N15" s="73">
        <f t="shared" si="4"/>
        <v>42.870541368319</v>
      </c>
      <c r="O15" s="73">
        <f t="shared" si="4"/>
        <v>43.83512854910617</v>
      </c>
      <c r="P15" s="73">
        <f t="shared" si="4"/>
        <v>44.82141894146106</v>
      </c>
      <c r="Q15" s="73">
        <f t="shared" si="4"/>
        <v>179.28567576584425</v>
      </c>
      <c r="R15" s="73">
        <f t="shared" si="4"/>
        <v>206.17852713072085</v>
      </c>
      <c r="S15" s="73">
        <f>+S12*S14</f>
        <v>237.10530620032898</v>
      </c>
      <c r="T15" s="73">
        <f>+T12*T14</f>
        <v>272.6711021303783</v>
      </c>
      <c r="U15" s="73">
        <f>+U12*U14</f>
        <v>313.571767449935</v>
      </c>
      <c r="V15" s="73">
        <f>+V12*V14</f>
        <v>360.6075325674252</v>
      </c>
      <c r="X15" s="9"/>
      <c r="Y15" s="11"/>
    </row>
    <row r="16" spans="1:25" s="2" customFormat="1" ht="12.75">
      <c r="A16" s="29"/>
      <c r="B16" s="65"/>
      <c r="C16" s="136"/>
      <c r="D16" s="148"/>
      <c r="E16" s="148"/>
      <c r="F16" s="19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29"/>
      <c r="B17" s="65" t="s">
        <v>68</v>
      </c>
      <c r="C17" s="136"/>
      <c r="D17" s="148">
        <v>223.3</v>
      </c>
      <c r="E17" s="148">
        <f>+E22-E12</f>
        <v>203.20000000000002</v>
      </c>
      <c r="F17" s="194">
        <f>+F22-F12</f>
        <v>196.8</v>
      </c>
      <c r="G17" s="12">
        <f aca="true" t="shared" si="5" ref="G17:R17">+F17*(1+G18)</f>
        <v>188.1408</v>
      </c>
      <c r="H17" s="12">
        <f t="shared" si="5"/>
        <v>179.8626048</v>
      </c>
      <c r="I17" s="12">
        <f t="shared" si="5"/>
        <v>171.9486501888</v>
      </c>
      <c r="J17" s="12">
        <f t="shared" si="5"/>
        <v>164.3829095804928</v>
      </c>
      <c r="K17" s="12">
        <f t="shared" si="5"/>
        <v>157.1500615589511</v>
      </c>
      <c r="L17" s="12">
        <f t="shared" si="5"/>
        <v>150.23545885035725</v>
      </c>
      <c r="M17" s="12">
        <f t="shared" si="5"/>
        <v>143.62509866094152</v>
      </c>
      <c r="N17" s="12">
        <f t="shared" si="5"/>
        <v>137.3055943198601</v>
      </c>
      <c r="O17" s="12">
        <f t="shared" si="5"/>
        <v>131.26414816978624</v>
      </c>
      <c r="P17" s="12">
        <f t="shared" si="5"/>
        <v>125.48852565031564</v>
      </c>
      <c r="Q17" s="12">
        <f>+P17*4</f>
        <v>501.95410260126255</v>
      </c>
      <c r="R17" s="12">
        <f t="shared" si="5"/>
        <v>426.6609872110732</v>
      </c>
      <c r="S17" s="12">
        <f>+R17*(1+S18)</f>
        <v>383.9948884899659</v>
      </c>
      <c r="T17" s="12">
        <f>+S17*(1+T18)</f>
        <v>364.7951440654676</v>
      </c>
      <c r="U17" s="12">
        <f>+T17*(1+U18)</f>
        <v>364.7951440654676</v>
      </c>
      <c r="V17" s="12">
        <f>+U17*(1+V18)</f>
        <v>364.7951440654676</v>
      </c>
      <c r="X17" s="9"/>
      <c r="Y17" s="11"/>
    </row>
    <row r="18" spans="1:25" s="2" customFormat="1" ht="12.75">
      <c r="A18" s="29"/>
      <c r="B18" s="66" t="s">
        <v>73</v>
      </c>
      <c r="C18" s="136"/>
      <c r="D18" s="148"/>
      <c r="E18" s="183"/>
      <c r="F18" s="198"/>
      <c r="G18" s="71">
        <f aca="true" t="shared" si="6" ref="G18:R18">+G6</f>
        <v>-0.044</v>
      </c>
      <c r="H18" s="71">
        <f t="shared" si="6"/>
        <v>-0.044</v>
      </c>
      <c r="I18" s="71">
        <f t="shared" si="6"/>
        <v>-0.044</v>
      </c>
      <c r="J18" s="71">
        <f t="shared" si="6"/>
        <v>-0.044</v>
      </c>
      <c r="K18" s="71">
        <f t="shared" si="6"/>
        <v>-0.044</v>
      </c>
      <c r="L18" s="71">
        <f t="shared" si="6"/>
        <v>-0.044</v>
      </c>
      <c r="M18" s="71">
        <f t="shared" si="6"/>
        <v>-0.044</v>
      </c>
      <c r="N18" s="71">
        <f t="shared" si="6"/>
        <v>-0.044</v>
      </c>
      <c r="O18" s="71">
        <f t="shared" si="6"/>
        <v>-0.044</v>
      </c>
      <c r="P18" s="71">
        <f t="shared" si="6"/>
        <v>-0.044</v>
      </c>
      <c r="Q18" s="71">
        <f t="shared" si="6"/>
        <v>-0.15</v>
      </c>
      <c r="R18" s="71">
        <f t="shared" si="6"/>
        <v>-0.15</v>
      </c>
      <c r="S18" s="71">
        <f>+S6</f>
        <v>-0.1</v>
      </c>
      <c r="T18" s="71">
        <f>+T6</f>
        <v>-0.05</v>
      </c>
      <c r="U18" s="71">
        <f>+U6</f>
        <v>0</v>
      </c>
      <c r="V18" s="71">
        <f>+V6</f>
        <v>0</v>
      </c>
      <c r="X18" s="9"/>
      <c r="Y18" s="11"/>
    </row>
    <row r="19" spans="1:23" s="102" customFormat="1" ht="15">
      <c r="A19" s="100"/>
      <c r="B19" s="101" t="s">
        <v>106</v>
      </c>
      <c r="C19" s="138"/>
      <c r="D19" s="98">
        <v>0.5</v>
      </c>
      <c r="E19" s="98">
        <v>0.55</v>
      </c>
      <c r="F19" s="196">
        <v>0.56</v>
      </c>
      <c r="G19" s="98">
        <v>0.545</v>
      </c>
      <c r="H19" s="98">
        <v>0.54</v>
      </c>
      <c r="I19" s="98">
        <v>0.54</v>
      </c>
      <c r="J19" s="98">
        <v>0.535</v>
      </c>
      <c r="K19" s="98">
        <v>0.53</v>
      </c>
      <c r="L19" s="98">
        <v>0.53</v>
      </c>
      <c r="M19" s="98">
        <v>0.53</v>
      </c>
      <c r="N19" s="98">
        <v>0.53</v>
      </c>
      <c r="O19" s="98">
        <v>0.53</v>
      </c>
      <c r="P19" s="98">
        <v>0.53</v>
      </c>
      <c r="Q19" s="98">
        <v>0.53</v>
      </c>
      <c r="R19" s="98">
        <v>0.53</v>
      </c>
      <c r="S19" s="98">
        <v>0.53</v>
      </c>
      <c r="T19" s="98">
        <v>0.53</v>
      </c>
      <c r="U19" s="98">
        <v>0.53</v>
      </c>
      <c r="V19" s="98">
        <v>0.53</v>
      </c>
      <c r="W19" s="119"/>
    </row>
    <row r="20" spans="1:25" s="2" customFormat="1" ht="12.75">
      <c r="A20" s="29"/>
      <c r="B20" s="25" t="s">
        <v>71</v>
      </c>
      <c r="C20" s="136"/>
      <c r="D20" s="73">
        <f>+D17*D19</f>
        <v>111.65</v>
      </c>
      <c r="E20" s="73">
        <f>+E23-E15</f>
        <v>111.63999999999999</v>
      </c>
      <c r="F20" s="197">
        <f>+F23-F15</f>
        <v>109.32</v>
      </c>
      <c r="G20" s="73">
        <f aca="true" t="shared" si="7" ref="G20:R20">+G17*G19</f>
        <v>102.53673600000002</v>
      </c>
      <c r="H20" s="73">
        <f t="shared" si="7"/>
        <v>97.12580659200002</v>
      </c>
      <c r="I20" s="73">
        <f t="shared" si="7"/>
        <v>92.85227110195201</v>
      </c>
      <c r="J20" s="73">
        <f t="shared" si="7"/>
        <v>87.94485662556365</v>
      </c>
      <c r="K20" s="73">
        <f t="shared" si="7"/>
        <v>83.2895326262441</v>
      </c>
      <c r="L20" s="73">
        <f t="shared" si="7"/>
        <v>79.62479319068935</v>
      </c>
      <c r="M20" s="73">
        <f t="shared" si="7"/>
        <v>76.12130229029901</v>
      </c>
      <c r="N20" s="73">
        <f t="shared" si="7"/>
        <v>72.77196498952586</v>
      </c>
      <c r="O20" s="73">
        <f t="shared" si="7"/>
        <v>69.5699985299867</v>
      </c>
      <c r="P20" s="73">
        <f t="shared" si="7"/>
        <v>66.50891859466729</v>
      </c>
      <c r="Q20" s="73">
        <f t="shared" si="7"/>
        <v>266.03567437866917</v>
      </c>
      <c r="R20" s="73">
        <f t="shared" si="7"/>
        <v>226.1303232218688</v>
      </c>
      <c r="S20" s="73">
        <f>+S17*S19</f>
        <v>203.51729089968194</v>
      </c>
      <c r="T20" s="73">
        <f>+T17*T19</f>
        <v>193.34142635469783</v>
      </c>
      <c r="U20" s="73">
        <f>+U17*U19</f>
        <v>193.34142635469783</v>
      </c>
      <c r="V20" s="73">
        <f>+V17*V19</f>
        <v>193.34142635469783</v>
      </c>
      <c r="X20" s="9"/>
      <c r="Y20" s="11"/>
    </row>
    <row r="21" spans="1:25" s="2" customFormat="1" ht="12.75">
      <c r="A21" s="29"/>
      <c r="B21" s="66"/>
      <c r="C21" s="136"/>
      <c r="D21" s="36"/>
      <c r="E21" s="36"/>
      <c r="F21" s="199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X21" s="9"/>
      <c r="Y21" s="11"/>
    </row>
    <row r="22" spans="1:25" s="2" customFormat="1" ht="12.75">
      <c r="A22" s="29"/>
      <c r="B22" s="66" t="s">
        <v>74</v>
      </c>
      <c r="C22" s="136"/>
      <c r="D22" s="148">
        <f>+D12+D17</f>
        <v>313.3</v>
      </c>
      <c r="E22" s="148">
        <v>289.1</v>
      </c>
      <c r="F22" s="194">
        <v>286.5</v>
      </c>
      <c r="G22" s="12">
        <f aca="true" t="shared" si="8" ref="G22:R22">+G12+G17</f>
        <v>279.85905</v>
      </c>
      <c r="H22" s="12">
        <f t="shared" si="8"/>
        <v>273.644515425</v>
      </c>
      <c r="I22" s="12">
        <f t="shared" si="8"/>
        <v>267.8406538028625</v>
      </c>
      <c r="J22" s="12">
        <f t="shared" si="8"/>
        <v>262.4324832758717</v>
      </c>
      <c r="K22" s="12">
        <f t="shared" si="8"/>
        <v>257.405750662476</v>
      </c>
      <c r="L22" s="12">
        <f t="shared" si="8"/>
        <v>252.74690095871148</v>
      </c>
      <c r="M22" s="12">
        <f t="shared" si="8"/>
        <v>248.4430482167337</v>
      </c>
      <c r="N22" s="12">
        <f t="shared" si="8"/>
        <v>244.48194774065757</v>
      </c>
      <c r="O22" s="12">
        <f t="shared" si="8"/>
        <v>240.85196954255167</v>
      </c>
      <c r="P22" s="12">
        <f t="shared" si="8"/>
        <v>237.54207300396828</v>
      </c>
      <c r="Q22" s="12">
        <f t="shared" si="8"/>
        <v>950.1682920158731</v>
      </c>
      <c r="R22" s="12">
        <f t="shared" si="8"/>
        <v>942.1073050378752</v>
      </c>
      <c r="S22" s="12">
        <f>+S12+S17</f>
        <v>976.7581539907883</v>
      </c>
      <c r="T22" s="12">
        <f>+T12+T17</f>
        <v>1046.4728993914132</v>
      </c>
      <c r="U22" s="12">
        <f>+U12+U17</f>
        <v>1148.724562690305</v>
      </c>
      <c r="V22" s="12">
        <f>+V12+V17</f>
        <v>1266.3139754840306</v>
      </c>
      <c r="X22" s="9"/>
      <c r="Y22" s="11"/>
    </row>
    <row r="23" spans="1:25" s="25" customFormat="1" ht="13.5" thickBot="1">
      <c r="A23" s="30" t="s">
        <v>14</v>
      </c>
      <c r="B23" s="30" t="s">
        <v>99</v>
      </c>
      <c r="C23" s="139"/>
      <c r="D23" s="74">
        <f>+D15+D20</f>
        <v>147.11</v>
      </c>
      <c r="E23" s="74">
        <v>146</v>
      </c>
      <c r="F23" s="200">
        <v>145.2</v>
      </c>
      <c r="G23" s="74">
        <f aca="true" t="shared" si="9" ref="G23:R23">+G15+G20</f>
        <v>139.224036</v>
      </c>
      <c r="H23" s="74">
        <f t="shared" si="9"/>
        <v>134.638570842</v>
      </c>
      <c r="I23" s="74">
        <f t="shared" si="9"/>
        <v>131.20907254757702</v>
      </c>
      <c r="J23" s="74">
        <f t="shared" si="9"/>
        <v>127.16468610371521</v>
      </c>
      <c r="K23" s="74">
        <f t="shared" si="9"/>
        <v>123.39180826765406</v>
      </c>
      <c r="L23" s="74">
        <f t="shared" si="9"/>
        <v>120.62937003403104</v>
      </c>
      <c r="M23" s="74">
        <f t="shared" si="9"/>
        <v>118.04848211261589</v>
      </c>
      <c r="N23" s="74">
        <f t="shared" si="9"/>
        <v>115.64250635784487</v>
      </c>
      <c r="O23" s="74">
        <f t="shared" si="9"/>
        <v>113.40512707909288</v>
      </c>
      <c r="P23" s="74">
        <f t="shared" si="9"/>
        <v>111.33033753612835</v>
      </c>
      <c r="Q23" s="74">
        <f t="shared" si="9"/>
        <v>445.3213501445134</v>
      </c>
      <c r="R23" s="74">
        <f t="shared" si="9"/>
        <v>432.3088503525896</v>
      </c>
      <c r="S23" s="74">
        <f>+S15+S20</f>
        <v>440.6225971000109</v>
      </c>
      <c r="T23" s="74">
        <f>+T15+T20</f>
        <v>466.01252848507613</v>
      </c>
      <c r="U23" s="74">
        <f>+U15+U20</f>
        <v>506.91319380463284</v>
      </c>
      <c r="V23" s="74">
        <f>+V15+V20</f>
        <v>553.948958922123</v>
      </c>
      <c r="X23" s="27"/>
      <c r="Y23" s="28"/>
    </row>
    <row r="24" spans="1:25" s="25" customFormat="1" ht="13.5" thickTop="1">
      <c r="A24" s="30"/>
      <c r="B24" s="25" t="s">
        <v>75</v>
      </c>
      <c r="C24" s="139" t="s">
        <v>110</v>
      </c>
      <c r="D24" s="76">
        <f>+D23/D22</f>
        <v>0.4695499521225663</v>
      </c>
      <c r="E24" s="76">
        <f>+E23/E22</f>
        <v>0.5050155655482531</v>
      </c>
      <c r="F24" s="201">
        <f>+F23/F22</f>
        <v>0.506806282722513</v>
      </c>
      <c r="G24" s="76">
        <f aca="true" t="shared" si="10" ref="G24:R24">+G23/G22</f>
        <v>0.4974791274393306</v>
      </c>
      <c r="H24" s="76">
        <f t="shared" si="10"/>
        <v>0.492019986707541</v>
      </c>
      <c r="I24" s="76">
        <f t="shared" si="10"/>
        <v>0.48987736060467585</v>
      </c>
      <c r="J24" s="76">
        <f t="shared" si="10"/>
        <v>0.48456153185136924</v>
      </c>
      <c r="K24" s="76">
        <f t="shared" si="10"/>
        <v>0.47936694479468683</v>
      </c>
      <c r="L24" s="76">
        <f t="shared" si="10"/>
        <v>0.4772733892145208</v>
      </c>
      <c r="M24" s="76">
        <f t="shared" si="10"/>
        <v>0.4751530902552532</v>
      </c>
      <c r="N24" s="76">
        <f t="shared" si="10"/>
        <v>0.4730104100795063</v>
      </c>
      <c r="O24" s="76">
        <f t="shared" si="10"/>
        <v>0.4708499054190106</v>
      </c>
      <c r="P24" s="76">
        <f t="shared" si="10"/>
        <v>0.4686762901756293</v>
      </c>
      <c r="Q24" s="76">
        <f t="shared" si="10"/>
        <v>0.4686762901756293</v>
      </c>
      <c r="R24" s="76">
        <f t="shared" si="10"/>
        <v>0.4588743214714906</v>
      </c>
      <c r="S24" s="76">
        <f>+S23/S22</f>
        <v>0.4511071602522464</v>
      </c>
      <c r="T24" s="76">
        <f>+T23/T22</f>
        <v>0.4453173405217568</v>
      </c>
      <c r="U24" s="76">
        <f>+U23/U22</f>
        <v>0.441283498471945</v>
      </c>
      <c r="V24" s="76">
        <f>+V23/V22</f>
        <v>0.4374499292013135</v>
      </c>
      <c r="X24" s="27"/>
      <c r="Y24" s="28"/>
    </row>
    <row r="25" spans="1:25" s="2" customFormat="1" ht="12.75">
      <c r="A25" s="29"/>
      <c r="B25" s="94"/>
      <c r="C25" s="136"/>
      <c r="D25" s="140"/>
      <c r="E25" s="140"/>
      <c r="F25" s="193"/>
      <c r="X25" s="9"/>
      <c r="Y25" s="11"/>
    </row>
    <row r="26" spans="1:25" s="25" customFormat="1" ht="12.75">
      <c r="A26" s="30"/>
      <c r="B26" s="24"/>
      <c r="C26" s="139"/>
      <c r="D26" s="36"/>
      <c r="E26" s="36"/>
      <c r="F26" s="199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X26" s="27"/>
      <c r="Y26" s="28"/>
    </row>
    <row r="27" spans="1:25" s="2" customFormat="1" ht="12.75">
      <c r="A27" s="29"/>
      <c r="B27" s="48" t="s">
        <v>44</v>
      </c>
      <c r="C27" s="140"/>
      <c r="D27" s="148"/>
      <c r="E27" s="148"/>
      <c r="F27" s="19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29"/>
      <c r="B28" s="24" t="s">
        <v>15</v>
      </c>
      <c r="C28" s="140"/>
      <c r="D28" s="148"/>
      <c r="E28" s="148"/>
      <c r="F28" s="19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29"/>
      <c r="B29" s="1" t="s">
        <v>78</v>
      </c>
      <c r="C29" s="140"/>
      <c r="D29" s="148">
        <f>266*0.05/4</f>
        <v>3.325</v>
      </c>
      <c r="E29" s="148">
        <v>2.07</v>
      </c>
      <c r="F29" s="194">
        <v>1.7825</v>
      </c>
      <c r="G29" s="1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29"/>
      <c r="B30" s="1" t="s">
        <v>79</v>
      </c>
      <c r="C30" s="140"/>
      <c r="D30" s="148"/>
      <c r="E30" s="148">
        <f>+Y69/4</f>
        <v>2.629</v>
      </c>
      <c r="F30" s="194">
        <f>+E30</f>
        <v>2.629</v>
      </c>
      <c r="G30" s="12">
        <f>+F30</f>
        <v>2.629</v>
      </c>
      <c r="H30" s="12">
        <f>+G30</f>
        <v>2.629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29"/>
      <c r="B31" s="1" t="s">
        <v>23</v>
      </c>
      <c r="C31" s="178"/>
      <c r="D31" s="148">
        <v>0</v>
      </c>
      <c r="E31" s="148">
        <v>0</v>
      </c>
      <c r="F31" s="19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29"/>
      <c r="B32" s="1" t="s">
        <v>32</v>
      </c>
      <c r="C32" s="140"/>
      <c r="D32" s="148">
        <f>+$Y72/4</f>
        <v>2.875</v>
      </c>
      <c r="E32" s="148">
        <f>+$Y72/4</f>
        <v>2.875</v>
      </c>
      <c r="F32" s="194">
        <f>+$Y72/4</f>
        <v>2.875</v>
      </c>
      <c r="G32" s="12">
        <f>+$Y72/4</f>
        <v>2.875</v>
      </c>
      <c r="H32" s="12">
        <f>+$Y72/4</f>
        <v>2.875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X32" s="9"/>
      <c r="Y32" s="11"/>
    </row>
    <row r="33" spans="1:25" s="2" customFormat="1" ht="12.75">
      <c r="A33" s="29"/>
      <c r="B33" s="245" t="s">
        <v>13</v>
      </c>
      <c r="C33" s="137" t="s">
        <v>126</v>
      </c>
      <c r="D33" s="148"/>
      <c r="E33" s="148"/>
      <c r="F33" s="194"/>
      <c r="G33" s="12"/>
      <c r="H33" s="12"/>
      <c r="I33" s="254">
        <f>906*0.09/4</f>
        <v>20.384999999999998</v>
      </c>
      <c r="J33" s="255">
        <f>+I33-(J73*0.09/4)</f>
        <v>20.384999999999998</v>
      </c>
      <c r="K33" s="255">
        <f aca="true" t="shared" si="11" ref="K33:P33">+J33-(K73*0.09/4)</f>
        <v>20.384999999999998</v>
      </c>
      <c r="L33" s="255">
        <f t="shared" si="11"/>
        <v>20.384999999999998</v>
      </c>
      <c r="M33" s="255">
        <f t="shared" si="11"/>
        <v>20.384999999999998</v>
      </c>
      <c r="N33" s="255">
        <f t="shared" si="11"/>
        <v>20.384999999999998</v>
      </c>
      <c r="O33" s="255">
        <f t="shared" si="11"/>
        <v>20.384999999999998</v>
      </c>
      <c r="P33" s="255">
        <f t="shared" si="11"/>
        <v>20.384999999999998</v>
      </c>
      <c r="Q33" s="255">
        <f>+P33*4-(Q73*0.09)</f>
        <v>81.53999999999999</v>
      </c>
      <c r="R33" s="255">
        <f>+Q33-(R73*0.09)</f>
        <v>81.53999999999999</v>
      </c>
      <c r="S33" s="255">
        <f>+R33-(S73*0.09)</f>
        <v>81.53999999999999</v>
      </c>
      <c r="T33" s="255">
        <f>+S33-(T73*0.09)</f>
        <v>72.53999999999999</v>
      </c>
      <c r="U33" s="255">
        <f>+T33-(U73*0.09)</f>
        <v>63.53999999999999</v>
      </c>
      <c r="V33" s="255">
        <f>+U33-(V73*0.09)</f>
        <v>54.53999999999999</v>
      </c>
      <c r="X33" s="9"/>
      <c r="Y33" s="11"/>
    </row>
    <row r="34" spans="1:25" s="2" customFormat="1" ht="12.75">
      <c r="A34" s="29"/>
      <c r="B34" s="7" t="s">
        <v>25</v>
      </c>
      <c r="C34" s="140"/>
      <c r="D34" s="148">
        <f aca="true" t="shared" si="12" ref="D34:H39">+$Y74/4</f>
        <v>2.1125000000000003</v>
      </c>
      <c r="E34" s="148">
        <f t="shared" si="12"/>
        <v>2.1125000000000003</v>
      </c>
      <c r="F34" s="194">
        <f t="shared" si="12"/>
        <v>2.1125000000000003</v>
      </c>
      <c r="G34" s="12">
        <f t="shared" si="12"/>
        <v>2.1125000000000003</v>
      </c>
      <c r="H34" s="12">
        <f t="shared" si="12"/>
        <v>2.1125000000000003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29"/>
      <c r="B35" s="1" t="s">
        <v>24</v>
      </c>
      <c r="C35" s="140"/>
      <c r="D35" s="148">
        <f t="shared" si="12"/>
        <v>2.140625</v>
      </c>
      <c r="E35" s="148">
        <f t="shared" si="12"/>
        <v>2.140625</v>
      </c>
      <c r="F35" s="194">
        <f t="shared" si="12"/>
        <v>2.140625</v>
      </c>
      <c r="G35" s="12">
        <f t="shared" si="12"/>
        <v>2.140625</v>
      </c>
      <c r="H35" s="12">
        <f t="shared" si="12"/>
        <v>2.140625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29"/>
      <c r="B36" s="1" t="s">
        <v>26</v>
      </c>
      <c r="C36" s="140"/>
      <c r="D36" s="148">
        <f t="shared" si="12"/>
        <v>3.640125</v>
      </c>
      <c r="E36" s="148">
        <f t="shared" si="12"/>
        <v>3.640125</v>
      </c>
      <c r="F36" s="194">
        <f t="shared" si="12"/>
        <v>3.640125</v>
      </c>
      <c r="G36" s="12">
        <f t="shared" si="12"/>
        <v>3.640125</v>
      </c>
      <c r="H36" s="12">
        <f t="shared" si="12"/>
        <v>3.640125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29"/>
      <c r="B37" s="1" t="s">
        <v>27</v>
      </c>
      <c r="C37" s="140"/>
      <c r="D37" s="148">
        <f t="shared" si="12"/>
        <v>2.5185</v>
      </c>
      <c r="E37" s="148">
        <f t="shared" si="12"/>
        <v>2.5185</v>
      </c>
      <c r="F37" s="194">
        <f t="shared" si="12"/>
        <v>2.5185</v>
      </c>
      <c r="G37" s="12">
        <f t="shared" si="12"/>
        <v>2.5185</v>
      </c>
      <c r="H37" s="12">
        <f t="shared" si="12"/>
        <v>2.5185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X37" s="9"/>
      <c r="Y37" s="11"/>
    </row>
    <row r="38" spans="1:25" s="2" customFormat="1" ht="12.75">
      <c r="A38" s="29"/>
      <c r="B38" s="1" t="s">
        <v>28</v>
      </c>
      <c r="C38" s="140"/>
      <c r="D38" s="148">
        <f t="shared" si="12"/>
        <v>4.2</v>
      </c>
      <c r="E38" s="148">
        <f t="shared" si="12"/>
        <v>4.2</v>
      </c>
      <c r="F38" s="194">
        <f t="shared" si="12"/>
        <v>4.2</v>
      </c>
      <c r="G38" s="12">
        <f t="shared" si="12"/>
        <v>4.2</v>
      </c>
      <c r="H38" s="12">
        <f t="shared" si="12"/>
        <v>4.2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X38" s="9"/>
      <c r="Y38" s="11"/>
    </row>
    <row r="39" spans="1:25" s="2" customFormat="1" ht="12.75">
      <c r="A39" s="29"/>
      <c r="B39" s="1" t="s">
        <v>29</v>
      </c>
      <c r="C39" s="140"/>
      <c r="D39" s="148">
        <f t="shared" si="12"/>
        <v>1.769625</v>
      </c>
      <c r="E39" s="148">
        <f t="shared" si="12"/>
        <v>1.769625</v>
      </c>
      <c r="F39" s="194">
        <f t="shared" si="12"/>
        <v>1.769625</v>
      </c>
      <c r="G39" s="12">
        <f t="shared" si="12"/>
        <v>1.769625</v>
      </c>
      <c r="H39" s="12">
        <f t="shared" si="12"/>
        <v>1.769625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X39" s="9"/>
      <c r="Y39" s="11"/>
    </row>
    <row r="40" spans="1:25" s="2" customFormat="1" ht="12.75">
      <c r="A40" s="29"/>
      <c r="B40" s="1"/>
      <c r="C40" s="140"/>
      <c r="D40" s="148"/>
      <c r="E40" s="148"/>
      <c r="F40" s="194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X40" s="9"/>
      <c r="Y40" s="11"/>
    </row>
    <row r="41" spans="1:25" s="2" customFormat="1" ht="12.75">
      <c r="A41" s="29"/>
      <c r="B41" s="1" t="s">
        <v>30</v>
      </c>
      <c r="C41" s="140"/>
      <c r="D41" s="148">
        <f aca="true" t="shared" si="13" ref="D41:H42">+$Y80/4</f>
        <v>5.8125</v>
      </c>
      <c r="E41" s="148">
        <f t="shared" si="13"/>
        <v>5.8125</v>
      </c>
      <c r="F41" s="194">
        <f t="shared" si="13"/>
        <v>5.8125</v>
      </c>
      <c r="G41" s="12">
        <f t="shared" si="13"/>
        <v>5.8125</v>
      </c>
      <c r="H41" s="12">
        <f t="shared" si="13"/>
        <v>5.8125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X41" s="9"/>
      <c r="Y41" s="11"/>
    </row>
    <row r="42" spans="1:25" s="2" customFormat="1" ht="12.75">
      <c r="A42" s="29"/>
      <c r="B42" s="1" t="s">
        <v>31</v>
      </c>
      <c r="C42" s="140"/>
      <c r="D42" s="148">
        <f t="shared" si="13"/>
        <v>0.265625</v>
      </c>
      <c r="E42" s="148">
        <f t="shared" si="13"/>
        <v>0.265625</v>
      </c>
      <c r="F42" s="194">
        <f t="shared" si="13"/>
        <v>0.265625</v>
      </c>
      <c r="G42" s="12">
        <f t="shared" si="13"/>
        <v>0.265625</v>
      </c>
      <c r="H42" s="12">
        <f t="shared" si="13"/>
        <v>0.265625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29"/>
      <c r="B43" s="18" t="s">
        <v>88</v>
      </c>
      <c r="C43" s="140"/>
      <c r="D43" s="148">
        <f>35.6-28.7</f>
        <v>6.900000000000002</v>
      </c>
      <c r="E43" s="148">
        <f>32.9-30</f>
        <v>2.8999999999999986</v>
      </c>
      <c r="F43" s="194">
        <v>-2.7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29"/>
      <c r="B44" s="18"/>
      <c r="C44" s="140"/>
      <c r="D44" s="148"/>
      <c r="E44" s="148"/>
      <c r="F44" s="19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X44" s="9"/>
      <c r="Y44" s="11"/>
    </row>
    <row r="45" spans="1:25" s="2" customFormat="1" ht="12.75">
      <c r="A45" s="29" t="s">
        <v>105</v>
      </c>
      <c r="B45" s="18" t="s">
        <v>101</v>
      </c>
      <c r="C45" s="140"/>
      <c r="D45" s="148"/>
      <c r="E45" s="148">
        <v>1.9</v>
      </c>
      <c r="F45" s="194">
        <f>7.4-E45</f>
        <v>5.5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29"/>
      <c r="B46" s="24"/>
      <c r="C46" s="140"/>
      <c r="D46" s="148"/>
      <c r="E46" s="148"/>
      <c r="F46" s="194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X46" s="9"/>
      <c r="Y46" s="11"/>
    </row>
    <row r="47" spans="1:25" s="2" customFormat="1" ht="12.75">
      <c r="A47" s="29"/>
      <c r="B47" s="24" t="s">
        <v>103</v>
      </c>
      <c r="C47" s="140"/>
      <c r="D47" s="148">
        <v>27.3</v>
      </c>
      <c r="E47" s="184">
        <v>29.8</v>
      </c>
      <c r="F47" s="194">
        <f>+(125-$E$47)/3</f>
        <v>31.733333333333334</v>
      </c>
      <c r="G47" s="12">
        <f aca="true" t="shared" si="14" ref="G47:P47">+F47</f>
        <v>31.733333333333334</v>
      </c>
      <c r="H47" s="12">
        <f t="shared" si="14"/>
        <v>31.733333333333334</v>
      </c>
      <c r="I47" s="12">
        <v>35</v>
      </c>
      <c r="J47" s="12">
        <f t="shared" si="14"/>
        <v>35</v>
      </c>
      <c r="K47" s="12">
        <f t="shared" si="14"/>
        <v>35</v>
      </c>
      <c r="L47" s="12">
        <f t="shared" si="14"/>
        <v>35</v>
      </c>
      <c r="M47" s="12">
        <f t="shared" si="14"/>
        <v>35</v>
      </c>
      <c r="N47" s="12">
        <f t="shared" si="14"/>
        <v>35</v>
      </c>
      <c r="O47" s="12">
        <f t="shared" si="14"/>
        <v>35</v>
      </c>
      <c r="P47" s="12">
        <f t="shared" si="14"/>
        <v>35</v>
      </c>
      <c r="Q47" s="12">
        <f>+P47*4</f>
        <v>140</v>
      </c>
      <c r="R47" s="12">
        <f>+Q47</f>
        <v>140</v>
      </c>
      <c r="S47" s="12">
        <f>+R47</f>
        <v>140</v>
      </c>
      <c r="T47" s="12">
        <f>+S47</f>
        <v>140</v>
      </c>
      <c r="U47" s="12">
        <f>+T47</f>
        <v>140</v>
      </c>
      <c r="V47" s="12">
        <f>+U47</f>
        <v>140</v>
      </c>
      <c r="X47" s="9"/>
      <c r="Y47" s="11"/>
    </row>
    <row r="48" spans="1:25" s="2" customFormat="1" ht="12.75">
      <c r="A48" s="29"/>
      <c r="C48" s="140"/>
      <c r="D48" s="148"/>
      <c r="E48" s="148"/>
      <c r="F48" s="19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X48" s="9"/>
      <c r="Y48" s="11"/>
    </row>
    <row r="49" spans="1:25" s="2" customFormat="1" ht="12.75">
      <c r="A49" s="29"/>
      <c r="B49" s="24" t="s">
        <v>66</v>
      </c>
      <c r="C49" s="140"/>
      <c r="D49" s="148">
        <v>14.7</v>
      </c>
      <c r="E49" s="148">
        <v>8.2</v>
      </c>
      <c r="F49" s="194">
        <f>16.9-E49</f>
        <v>8.7</v>
      </c>
      <c r="G49" s="12">
        <f aca="true" t="shared" si="15" ref="G49:P49">+F49</f>
        <v>8.7</v>
      </c>
      <c r="H49" s="12">
        <f t="shared" si="15"/>
        <v>8.7</v>
      </c>
      <c r="I49" s="12">
        <f t="shared" si="15"/>
        <v>8.7</v>
      </c>
      <c r="J49" s="12">
        <f t="shared" si="15"/>
        <v>8.7</v>
      </c>
      <c r="K49" s="12">
        <f t="shared" si="15"/>
        <v>8.7</v>
      </c>
      <c r="L49" s="12">
        <f t="shared" si="15"/>
        <v>8.7</v>
      </c>
      <c r="M49" s="12">
        <f t="shared" si="15"/>
        <v>8.7</v>
      </c>
      <c r="N49" s="12">
        <f t="shared" si="15"/>
        <v>8.7</v>
      </c>
      <c r="O49" s="12">
        <f t="shared" si="15"/>
        <v>8.7</v>
      </c>
      <c r="P49" s="12">
        <f t="shared" si="15"/>
        <v>8.7</v>
      </c>
      <c r="Q49" s="12">
        <f>+P49*4</f>
        <v>34.8</v>
      </c>
      <c r="R49" s="12">
        <f>+Q49</f>
        <v>34.8</v>
      </c>
      <c r="S49" s="12">
        <f>+R49</f>
        <v>34.8</v>
      </c>
      <c r="T49" s="12">
        <f>+S49</f>
        <v>34.8</v>
      </c>
      <c r="U49" s="12">
        <f>+T49</f>
        <v>34.8</v>
      </c>
      <c r="V49" s="12">
        <f>+U49</f>
        <v>34.8</v>
      </c>
      <c r="X49" s="9"/>
      <c r="Y49" s="11"/>
    </row>
    <row r="50" spans="1:25" s="2" customFormat="1" ht="12.75">
      <c r="A50" s="29" t="s">
        <v>105</v>
      </c>
      <c r="B50" s="24" t="s">
        <v>102</v>
      </c>
      <c r="C50" s="140"/>
      <c r="D50" s="148">
        <v>0</v>
      </c>
      <c r="E50" s="148">
        <v>13.036</v>
      </c>
      <c r="F50" s="194">
        <v>0</v>
      </c>
      <c r="G50" s="12">
        <v>0</v>
      </c>
      <c r="H50" s="12">
        <v>0</v>
      </c>
      <c r="I50" s="26">
        <v>13</v>
      </c>
      <c r="J50" s="12">
        <v>0</v>
      </c>
      <c r="K50" s="12">
        <v>0</v>
      </c>
      <c r="L50" s="12">
        <v>0</v>
      </c>
      <c r="M50" s="26">
        <v>13</v>
      </c>
      <c r="N50" s="12">
        <v>0</v>
      </c>
      <c r="O50" s="12">
        <v>0</v>
      </c>
      <c r="P50" s="12">
        <v>0</v>
      </c>
      <c r="Q50" s="26">
        <v>13</v>
      </c>
      <c r="R50" s="26">
        <v>13</v>
      </c>
      <c r="S50" s="12">
        <v>0</v>
      </c>
      <c r="T50" s="12">
        <v>0</v>
      </c>
      <c r="U50" s="12">
        <v>0</v>
      </c>
      <c r="V50" s="12">
        <v>0</v>
      </c>
      <c r="X50" s="9"/>
      <c r="Y50" s="11"/>
    </row>
    <row r="51" spans="1:25" s="2" customFormat="1" ht="12.75">
      <c r="A51" s="29" t="s">
        <v>105</v>
      </c>
      <c r="B51" s="24" t="s">
        <v>104</v>
      </c>
      <c r="C51" s="140"/>
      <c r="D51" s="148"/>
      <c r="E51" s="148">
        <f>42.736+(315.3-310.1)</f>
        <v>47.935999999999986</v>
      </c>
      <c r="F51" s="194">
        <f>30.4-E51-0.7</f>
        <v>-18.235999999999986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X51" s="9"/>
      <c r="Y51" s="11"/>
    </row>
    <row r="52" spans="1:25" s="2" customFormat="1" ht="12.75">
      <c r="A52" s="29"/>
      <c r="C52" s="140"/>
      <c r="D52" s="148"/>
      <c r="E52" s="148"/>
      <c r="F52" s="19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X52" s="9"/>
      <c r="Y52" s="11"/>
    </row>
    <row r="53" spans="1:25" s="2" customFormat="1" ht="12.75">
      <c r="A53" s="29"/>
      <c r="B53" s="24" t="s">
        <v>89</v>
      </c>
      <c r="C53" s="140"/>
      <c r="D53" s="148">
        <v>2.9</v>
      </c>
      <c r="E53" s="148">
        <v>0</v>
      </c>
      <c r="F53" s="19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X53" s="9"/>
      <c r="Y53" s="11"/>
    </row>
    <row r="54" spans="1:25" s="2" customFormat="1" ht="12.75">
      <c r="A54" s="29"/>
      <c r="B54" s="2" t="s">
        <v>90</v>
      </c>
      <c r="C54" s="140"/>
      <c r="D54" s="148">
        <v>0.5</v>
      </c>
      <c r="E54" s="148"/>
      <c r="F54" s="194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X54" s="9"/>
      <c r="Y54" s="11"/>
    </row>
    <row r="55" spans="1:25" s="2" customFormat="1" ht="12.75">
      <c r="A55" s="29"/>
      <c r="B55" s="24" t="s">
        <v>17</v>
      </c>
      <c r="C55" s="141" t="s">
        <v>94</v>
      </c>
      <c r="D55" s="148">
        <v>10</v>
      </c>
      <c r="E55" s="148">
        <v>0</v>
      </c>
      <c r="F55" s="194">
        <v>0</v>
      </c>
      <c r="G55" s="255">
        <v>30</v>
      </c>
      <c r="H55" s="255">
        <f>232.8*0.069/4</f>
        <v>4.0158000000000005</v>
      </c>
      <c r="I55" s="255">
        <f aca="true" t="shared" si="16" ref="I55:P55">+H55</f>
        <v>4.0158000000000005</v>
      </c>
      <c r="J55" s="255">
        <f t="shared" si="16"/>
        <v>4.0158000000000005</v>
      </c>
      <c r="K55" s="255">
        <f t="shared" si="16"/>
        <v>4.0158000000000005</v>
      </c>
      <c r="L55" s="255">
        <f t="shared" si="16"/>
        <v>4.0158000000000005</v>
      </c>
      <c r="M55" s="255">
        <f t="shared" si="16"/>
        <v>4.0158000000000005</v>
      </c>
      <c r="N55" s="255">
        <f t="shared" si="16"/>
        <v>4.0158000000000005</v>
      </c>
      <c r="O55" s="255">
        <f t="shared" si="16"/>
        <v>4.0158000000000005</v>
      </c>
      <c r="P55" s="255">
        <f t="shared" si="16"/>
        <v>4.0158000000000005</v>
      </c>
      <c r="Q55" s="255">
        <f>+P55*4</f>
        <v>16.063200000000002</v>
      </c>
      <c r="R55" s="255">
        <f>+Q55</f>
        <v>16.063200000000002</v>
      </c>
      <c r="S55" s="255">
        <f>+R55</f>
        <v>16.063200000000002</v>
      </c>
      <c r="T55" s="255">
        <f>+S55</f>
        <v>16.063200000000002</v>
      </c>
      <c r="U55" s="255">
        <f>+T55</f>
        <v>16.063200000000002</v>
      </c>
      <c r="V55" s="255">
        <f>+U55</f>
        <v>16.063200000000002</v>
      </c>
      <c r="X55" s="9"/>
      <c r="Y55" s="11"/>
    </row>
    <row r="56" spans="1:25" s="2" customFormat="1" ht="12.75">
      <c r="A56" s="29"/>
      <c r="C56" s="141" t="s">
        <v>125</v>
      </c>
      <c r="D56" s="148"/>
      <c r="E56" s="148"/>
      <c r="F56" s="202"/>
      <c r="G56" s="256"/>
      <c r="H56" s="256"/>
      <c r="I56" s="256">
        <f>78.6*0.15/4</f>
        <v>2.9475</v>
      </c>
      <c r="J56" s="256">
        <f>+I56</f>
        <v>2.9475</v>
      </c>
      <c r="K56" s="256">
        <f aca="true" t="shared" si="17" ref="K56:V56">+J56</f>
        <v>2.9475</v>
      </c>
      <c r="L56" s="256">
        <f t="shared" si="17"/>
        <v>2.9475</v>
      </c>
      <c r="M56" s="256">
        <f t="shared" si="17"/>
        <v>2.9475</v>
      </c>
      <c r="N56" s="256">
        <f t="shared" si="17"/>
        <v>2.9475</v>
      </c>
      <c r="O56" s="256">
        <f t="shared" si="17"/>
        <v>2.9475</v>
      </c>
      <c r="P56" s="256">
        <f t="shared" si="17"/>
        <v>2.9475</v>
      </c>
      <c r="Q56" s="256">
        <f>+P56*4</f>
        <v>11.79</v>
      </c>
      <c r="R56" s="256">
        <f t="shared" si="17"/>
        <v>11.79</v>
      </c>
      <c r="S56" s="256">
        <f t="shared" si="17"/>
        <v>11.79</v>
      </c>
      <c r="T56" s="256">
        <f t="shared" si="17"/>
        <v>11.79</v>
      </c>
      <c r="U56" s="256">
        <f t="shared" si="17"/>
        <v>11.79</v>
      </c>
      <c r="V56" s="256">
        <f t="shared" si="17"/>
        <v>11.79</v>
      </c>
      <c r="X56" s="9"/>
      <c r="Y56" s="11"/>
    </row>
    <row r="57" spans="1:25" s="25" customFormat="1" ht="12.75">
      <c r="A57" s="30" t="s">
        <v>37</v>
      </c>
      <c r="B57" s="24" t="s">
        <v>19</v>
      </c>
      <c r="C57" s="142"/>
      <c r="D57" s="36">
        <f>SUM(D28:D56)</f>
        <v>90.9595</v>
      </c>
      <c r="E57" s="36">
        <f>SUM(E28:E56)</f>
        <v>133.8055</v>
      </c>
      <c r="F57" s="199">
        <f aca="true" t="shared" si="18" ref="F57:R57">SUM(F28:F56)</f>
        <v>54.743333333333354</v>
      </c>
      <c r="G57" s="26">
        <f t="shared" si="18"/>
        <v>99.89183333333334</v>
      </c>
      <c r="H57" s="26">
        <f t="shared" si="18"/>
        <v>73.62013333333333</v>
      </c>
      <c r="I57" s="26">
        <f t="shared" si="18"/>
        <v>84.9683</v>
      </c>
      <c r="J57" s="26">
        <f t="shared" si="18"/>
        <v>71.0483</v>
      </c>
      <c r="K57" s="26">
        <f t="shared" si="18"/>
        <v>71.0483</v>
      </c>
      <c r="L57" s="26">
        <f t="shared" si="18"/>
        <v>71.0483</v>
      </c>
      <c r="M57" s="26">
        <f t="shared" si="18"/>
        <v>84.0483</v>
      </c>
      <c r="N57" s="26">
        <f t="shared" si="18"/>
        <v>71.0483</v>
      </c>
      <c r="O57" s="26">
        <f t="shared" si="18"/>
        <v>71.0483</v>
      </c>
      <c r="P57" s="26">
        <f t="shared" si="18"/>
        <v>71.0483</v>
      </c>
      <c r="Q57" s="26">
        <f t="shared" si="18"/>
        <v>297.1932</v>
      </c>
      <c r="R57" s="26">
        <f t="shared" si="18"/>
        <v>297.1932</v>
      </c>
      <c r="S57" s="26">
        <f>SUM(S28:S56)</f>
        <v>284.1932</v>
      </c>
      <c r="T57" s="26">
        <f>SUM(T28:T56)</f>
        <v>275.1932</v>
      </c>
      <c r="U57" s="26">
        <f>SUM(U28:U56)</f>
        <v>266.1932</v>
      </c>
      <c r="V57" s="26">
        <f>SUM(V28:V56)</f>
        <v>257.1932</v>
      </c>
      <c r="X57" s="27"/>
      <c r="Y57" s="28"/>
    </row>
    <row r="58" spans="1:25" s="25" customFormat="1" ht="12.75">
      <c r="A58" s="30"/>
      <c r="B58" s="24"/>
      <c r="C58" s="142"/>
      <c r="D58" s="36"/>
      <c r="E58" s="36"/>
      <c r="F58" s="199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X58" s="27"/>
      <c r="Y58" s="28"/>
    </row>
    <row r="59" spans="1:25" s="25" customFormat="1" ht="12.75">
      <c r="A59" s="30"/>
      <c r="B59" s="3" t="s">
        <v>33</v>
      </c>
      <c r="C59" s="136"/>
      <c r="D59" s="148">
        <v>52</v>
      </c>
      <c r="E59" s="36"/>
      <c r="F59" s="199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X59" s="27"/>
      <c r="Y59" s="28"/>
    </row>
    <row r="60" spans="1:25" s="2" customFormat="1" ht="12.75">
      <c r="A60" s="29"/>
      <c r="B60" s="3" t="s">
        <v>51</v>
      </c>
      <c r="C60" s="136"/>
      <c r="D60" s="148">
        <v>72</v>
      </c>
      <c r="E60" s="148"/>
      <c r="F60" s="20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X60" s="9"/>
      <c r="Y60" s="11"/>
    </row>
    <row r="61" spans="1:25" s="25" customFormat="1" ht="13.5" thickBot="1">
      <c r="A61" s="30" t="s">
        <v>38</v>
      </c>
      <c r="B61" s="24" t="s">
        <v>40</v>
      </c>
      <c r="C61" s="143" t="s">
        <v>41</v>
      </c>
      <c r="D61" s="31">
        <f>+D23-D57+D60+D59</f>
        <v>180.15050000000002</v>
      </c>
      <c r="E61" s="31">
        <f aca="true" t="shared" si="19" ref="E61:V61">+E23-E57</f>
        <v>12.194500000000005</v>
      </c>
      <c r="F61" s="203">
        <f t="shared" si="19"/>
        <v>90.45666666666664</v>
      </c>
      <c r="G61" s="31">
        <f t="shared" si="19"/>
        <v>39.332202666666674</v>
      </c>
      <c r="H61" s="31">
        <f t="shared" si="19"/>
        <v>61.01843750866668</v>
      </c>
      <c r="I61" s="31">
        <f t="shared" si="19"/>
        <v>46.24077254757702</v>
      </c>
      <c r="J61" s="31">
        <f t="shared" si="19"/>
        <v>56.116386103715215</v>
      </c>
      <c r="K61" s="31">
        <f t="shared" si="19"/>
        <v>52.34350826765406</v>
      </c>
      <c r="L61" s="31">
        <f t="shared" si="19"/>
        <v>49.58107003403104</v>
      </c>
      <c r="M61" s="31">
        <f t="shared" si="19"/>
        <v>34.00018211261589</v>
      </c>
      <c r="N61" s="31">
        <f t="shared" si="19"/>
        <v>44.59420635784487</v>
      </c>
      <c r="O61" s="31">
        <f t="shared" si="19"/>
        <v>42.35682707909288</v>
      </c>
      <c r="P61" s="31">
        <f t="shared" si="19"/>
        <v>40.28203753612836</v>
      </c>
      <c r="Q61" s="133">
        <f t="shared" si="19"/>
        <v>148.12815014451343</v>
      </c>
      <c r="R61" s="133">
        <f t="shared" si="19"/>
        <v>135.11565035258963</v>
      </c>
      <c r="S61" s="133">
        <f t="shared" si="19"/>
        <v>156.42939710001093</v>
      </c>
      <c r="T61" s="133">
        <f t="shared" si="19"/>
        <v>190.81932848507614</v>
      </c>
      <c r="U61" s="133">
        <f t="shared" si="19"/>
        <v>240.71999380463285</v>
      </c>
      <c r="V61" s="133">
        <f t="shared" si="19"/>
        <v>296.755758922123</v>
      </c>
      <c r="X61" s="27"/>
      <c r="Y61" s="28"/>
    </row>
    <row r="62" spans="1:25" s="25" customFormat="1" ht="13.5" thickTop="1">
      <c r="A62" s="30"/>
      <c r="B62" s="24"/>
      <c r="C62" s="143"/>
      <c r="D62" s="36"/>
      <c r="E62" s="36"/>
      <c r="F62" s="199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X62" s="27"/>
      <c r="Y62" s="28"/>
    </row>
    <row r="63" spans="1:25" s="25" customFormat="1" ht="18">
      <c r="A63" s="30"/>
      <c r="B63" s="24"/>
      <c r="C63" s="143"/>
      <c r="D63" s="36"/>
      <c r="E63" s="36"/>
      <c r="F63" s="199"/>
      <c r="G63" s="226" t="s">
        <v>115</v>
      </c>
      <c r="H63" s="36"/>
      <c r="I63" s="36"/>
      <c r="J63" s="180" t="s">
        <v>116</v>
      </c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X63" s="27"/>
      <c r="Y63" s="28"/>
    </row>
    <row r="64" spans="1:25" s="25" customFormat="1" ht="18">
      <c r="A64" s="30"/>
      <c r="B64" s="24"/>
      <c r="C64" s="143"/>
      <c r="D64" s="36"/>
      <c r="E64" s="36"/>
      <c r="F64" s="199"/>
      <c r="G64" s="180"/>
      <c r="H64" s="36"/>
      <c r="I64" s="36"/>
      <c r="J64" s="180" t="s">
        <v>128</v>
      </c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X64" s="27"/>
      <c r="Y64" s="28"/>
    </row>
    <row r="65" spans="1:25" s="25" customFormat="1" ht="18">
      <c r="A65" s="30"/>
      <c r="B65" s="24"/>
      <c r="C65" s="143"/>
      <c r="D65" s="36"/>
      <c r="E65" s="36"/>
      <c r="F65" s="199"/>
      <c r="G65" s="36"/>
      <c r="H65" s="36"/>
      <c r="I65" s="36"/>
      <c r="J65" s="180" t="s">
        <v>124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X65" s="27"/>
      <c r="Y65" s="28"/>
    </row>
    <row r="66" spans="1:25" s="2" customFormat="1" ht="18">
      <c r="A66" s="29"/>
      <c r="B66" s="3"/>
      <c r="C66" s="136"/>
      <c r="D66" s="148"/>
      <c r="E66" s="148"/>
      <c r="F66" s="194"/>
      <c r="G66" s="12"/>
      <c r="H66" s="12"/>
      <c r="I66" s="12"/>
      <c r="J66" s="180" t="s">
        <v>130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X66" s="37" t="s">
        <v>52</v>
      </c>
      <c r="Y66" s="38" t="s">
        <v>46</v>
      </c>
    </row>
    <row r="67" spans="2:25" ht="12.75">
      <c r="B67" s="49" t="s">
        <v>20</v>
      </c>
      <c r="C67" s="4"/>
      <c r="D67" s="149"/>
      <c r="E67" s="185"/>
      <c r="F67" s="20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X67" s="39" t="s">
        <v>20</v>
      </c>
      <c r="Y67" s="40" t="s">
        <v>45</v>
      </c>
    </row>
    <row r="68" spans="1:25" ht="12.75">
      <c r="A68" s="16" t="s">
        <v>39</v>
      </c>
      <c r="B68" s="1" t="s">
        <v>76</v>
      </c>
      <c r="C68" s="144">
        <v>250</v>
      </c>
      <c r="D68" s="149">
        <v>45</v>
      </c>
      <c r="E68" s="185">
        <v>25</v>
      </c>
      <c r="F68" s="204">
        <v>25</v>
      </c>
      <c r="G68" s="14">
        <v>25</v>
      </c>
      <c r="H68" s="14">
        <v>25</v>
      </c>
      <c r="I68" s="14">
        <f>250-(+D68+E68+F68+G68+H68)</f>
        <v>105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X68" s="10">
        <f>+C68-D68-E68</f>
        <v>180</v>
      </c>
      <c r="Y68" s="5">
        <f>+X68*0.044</f>
        <v>7.92</v>
      </c>
    </row>
    <row r="69" spans="1:25" ht="12.75">
      <c r="A69" s="16" t="s">
        <v>39</v>
      </c>
      <c r="B69" s="1" t="s">
        <v>77</v>
      </c>
      <c r="C69" s="144">
        <v>16</v>
      </c>
      <c r="D69" s="149">
        <v>16</v>
      </c>
      <c r="E69" s="186">
        <v>-239</v>
      </c>
      <c r="F69" s="204"/>
      <c r="G69" s="14"/>
      <c r="H69" s="34">
        <v>239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v>239</v>
      </c>
      <c r="Y69" s="5">
        <f>+X69*0.044</f>
        <v>10.516</v>
      </c>
    </row>
    <row r="70" spans="1:24" ht="12.75">
      <c r="A70" s="16" t="s">
        <v>39</v>
      </c>
      <c r="B70" s="1" t="s">
        <v>23</v>
      </c>
      <c r="C70" s="144">
        <v>35</v>
      </c>
      <c r="D70" s="149">
        <v>35</v>
      </c>
      <c r="E70" s="185"/>
      <c r="F70" s="20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X70" s="10">
        <f>+C70-D70</f>
        <v>0</v>
      </c>
    </row>
    <row r="71" spans="1:22" ht="12.75">
      <c r="A71" s="16"/>
      <c r="B71" s="1" t="s">
        <v>100</v>
      </c>
      <c r="C71" s="144"/>
      <c r="D71" s="149"/>
      <c r="E71" s="185">
        <v>0.3</v>
      </c>
      <c r="F71" s="20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5" ht="12.75">
      <c r="A72" s="16" t="s">
        <v>39</v>
      </c>
      <c r="B72" s="93" t="s">
        <v>32</v>
      </c>
      <c r="C72" s="145">
        <v>184</v>
      </c>
      <c r="D72" s="149"/>
      <c r="E72" s="185"/>
      <c r="F72" s="204"/>
      <c r="G72" s="14"/>
      <c r="H72" s="14">
        <v>184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X72" s="10">
        <f aca="true" t="shared" si="20" ref="X72:X81">SUM(D72:W72)</f>
        <v>184</v>
      </c>
      <c r="Y72" s="5">
        <f>+X72*0.0625</f>
        <v>11.5</v>
      </c>
    </row>
    <row r="73" spans="1:22" ht="12.75">
      <c r="A73" s="16" t="s">
        <v>39</v>
      </c>
      <c r="B73" s="18" t="s">
        <v>13</v>
      </c>
      <c r="C73" s="144"/>
      <c r="D73" s="149"/>
      <c r="E73" s="185"/>
      <c r="F73" s="204"/>
      <c r="G73" s="14"/>
      <c r="H73" s="34">
        <v>-906</v>
      </c>
      <c r="I73" s="257">
        <v>0</v>
      </c>
      <c r="J73" s="257">
        <f>+I73</f>
        <v>0</v>
      </c>
      <c r="K73" s="257">
        <f aca="true" t="shared" si="21" ref="K73:V73">+J73</f>
        <v>0</v>
      </c>
      <c r="L73" s="257">
        <f t="shared" si="21"/>
        <v>0</v>
      </c>
      <c r="M73" s="257">
        <f t="shared" si="21"/>
        <v>0</v>
      </c>
      <c r="N73" s="257">
        <f t="shared" si="21"/>
        <v>0</v>
      </c>
      <c r="O73" s="257">
        <f t="shared" si="21"/>
        <v>0</v>
      </c>
      <c r="P73" s="257">
        <f t="shared" si="21"/>
        <v>0</v>
      </c>
      <c r="Q73" s="257">
        <f>+P73*4</f>
        <v>0</v>
      </c>
      <c r="R73" s="257">
        <f t="shared" si="21"/>
        <v>0</v>
      </c>
      <c r="S73" s="257">
        <f t="shared" si="21"/>
        <v>0</v>
      </c>
      <c r="T73" s="257">
        <v>100</v>
      </c>
      <c r="U73" s="257">
        <f t="shared" si="21"/>
        <v>100</v>
      </c>
      <c r="V73" s="257">
        <f t="shared" si="21"/>
        <v>100</v>
      </c>
    </row>
    <row r="74" spans="1:25" ht="12.75">
      <c r="A74" s="16" t="s">
        <v>39</v>
      </c>
      <c r="B74" s="7" t="s">
        <v>25</v>
      </c>
      <c r="C74" s="145">
        <v>130</v>
      </c>
      <c r="D74" s="149"/>
      <c r="E74" s="185"/>
      <c r="F74" s="204"/>
      <c r="G74" s="14"/>
      <c r="H74" s="145">
        <v>130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X74" s="10">
        <f t="shared" si="20"/>
        <v>130</v>
      </c>
      <c r="Y74" s="5">
        <f>+X74*0.065</f>
        <v>8.450000000000001</v>
      </c>
    </row>
    <row r="75" spans="1:25" ht="12.75">
      <c r="A75" s="16" t="s">
        <v>39</v>
      </c>
      <c r="B75" s="1" t="s">
        <v>24</v>
      </c>
      <c r="C75" s="145">
        <v>125</v>
      </c>
      <c r="D75" s="149"/>
      <c r="E75" s="185"/>
      <c r="F75" s="204"/>
      <c r="G75" s="14"/>
      <c r="H75" s="145">
        <v>125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X75" s="10">
        <f t="shared" si="20"/>
        <v>125</v>
      </c>
      <c r="Y75" s="5">
        <f>+X75*0.0685</f>
        <v>8.5625</v>
      </c>
    </row>
    <row r="76" spans="1:25" ht="12.75">
      <c r="A76" s="16" t="s">
        <v>39</v>
      </c>
      <c r="B76" s="1" t="s">
        <v>26</v>
      </c>
      <c r="C76" s="145">
        <v>255</v>
      </c>
      <c r="D76" s="149"/>
      <c r="E76" s="185"/>
      <c r="F76" s="204"/>
      <c r="G76" s="14"/>
      <c r="H76" s="145">
        <v>255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X76" s="10">
        <f t="shared" si="20"/>
        <v>255</v>
      </c>
      <c r="Y76" s="5">
        <f>+X76*0.0571</f>
        <v>14.5605</v>
      </c>
    </row>
    <row r="77" spans="1:25" ht="12.75">
      <c r="A77" s="16" t="s">
        <v>39</v>
      </c>
      <c r="B77" s="1" t="s">
        <v>27</v>
      </c>
      <c r="C77" s="145">
        <v>138</v>
      </c>
      <c r="D77" s="149"/>
      <c r="E77" s="185"/>
      <c r="F77" s="204"/>
      <c r="G77" s="14"/>
      <c r="H77" s="145">
        <v>138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X77" s="10">
        <f t="shared" si="20"/>
        <v>138</v>
      </c>
      <c r="Y77" s="5">
        <f>+X77*0.073</f>
        <v>10.074</v>
      </c>
    </row>
    <row r="78" spans="1:25" ht="12.75">
      <c r="A78" s="16" t="s">
        <v>39</v>
      </c>
      <c r="B78" s="1" t="s">
        <v>28</v>
      </c>
      <c r="C78" s="145">
        <v>320</v>
      </c>
      <c r="D78" s="149"/>
      <c r="E78" s="185"/>
      <c r="F78" s="204"/>
      <c r="G78" s="14"/>
      <c r="H78" s="145">
        <v>320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X78" s="10">
        <f t="shared" si="20"/>
        <v>320</v>
      </c>
      <c r="Y78" s="5">
        <f>+X78*0.0525</f>
        <v>16.8</v>
      </c>
    </row>
    <row r="79" spans="1:25" ht="12.75">
      <c r="A79" s="16" t="s">
        <v>39</v>
      </c>
      <c r="B79" s="1" t="s">
        <v>29</v>
      </c>
      <c r="C79" s="145">
        <v>121</v>
      </c>
      <c r="D79" s="149"/>
      <c r="E79" s="185"/>
      <c r="F79" s="204"/>
      <c r="G79" s="14"/>
      <c r="H79" s="145">
        <v>121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X79" s="10">
        <f t="shared" si="20"/>
        <v>121</v>
      </c>
      <c r="Y79" s="5">
        <f>+X79*0.0585</f>
        <v>7.0785</v>
      </c>
    </row>
    <row r="80" spans="1:25" ht="12.75">
      <c r="A80" s="16" t="s">
        <v>39</v>
      </c>
      <c r="B80" s="1" t="s">
        <v>30</v>
      </c>
      <c r="C80" s="145">
        <v>300</v>
      </c>
      <c r="D80" s="149"/>
      <c r="E80" s="185"/>
      <c r="F80" s="204"/>
      <c r="G80" s="14"/>
      <c r="H80" s="145">
        <v>300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X80" s="10">
        <f t="shared" si="20"/>
        <v>300</v>
      </c>
      <c r="Y80" s="5">
        <f>+X80*0.0775</f>
        <v>23.25</v>
      </c>
    </row>
    <row r="81" spans="1:25" ht="12.75">
      <c r="A81" s="16" t="s">
        <v>39</v>
      </c>
      <c r="B81" s="1" t="s">
        <v>31</v>
      </c>
      <c r="C81" s="145">
        <v>17</v>
      </c>
      <c r="D81" s="149"/>
      <c r="E81" s="185"/>
      <c r="F81" s="204"/>
      <c r="G81" s="14"/>
      <c r="H81" s="145">
        <v>17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X81" s="10">
        <f t="shared" si="20"/>
        <v>17</v>
      </c>
      <c r="Y81" s="5">
        <f>+X81*0.0625</f>
        <v>1.0625</v>
      </c>
    </row>
    <row r="82" spans="1:22" ht="12.75">
      <c r="A82" s="16"/>
      <c r="B82" s="243" t="s">
        <v>123</v>
      </c>
      <c r="C82" s="145"/>
      <c r="D82" s="149"/>
      <c r="E82" s="185"/>
      <c r="F82" s="204"/>
      <c r="G82" s="14"/>
      <c r="H82" s="250">
        <v>-684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2:22" ht="12.75">
      <c r="B83" s="18" t="s">
        <v>65</v>
      </c>
      <c r="C83" s="33">
        <f>SUM(C68:C81)</f>
        <v>1891</v>
      </c>
      <c r="D83" s="149"/>
      <c r="E83" s="185"/>
      <c r="F83" s="20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5" s="15" customFormat="1" ht="13.5" thickBot="1">
      <c r="A84" s="16" t="s">
        <v>42</v>
      </c>
      <c r="B84" s="15" t="s">
        <v>50</v>
      </c>
      <c r="C84" s="146" t="s">
        <v>48</v>
      </c>
      <c r="D84" s="109">
        <f aca="true" t="shared" si="22" ref="D84:R84">-SUM(D66:D83)+D61</f>
        <v>84.15050000000002</v>
      </c>
      <c r="E84" s="187">
        <f t="shared" si="22"/>
        <v>225.8945</v>
      </c>
      <c r="F84" s="205">
        <f t="shared" si="22"/>
        <v>65.45666666666664</v>
      </c>
      <c r="G84" s="109">
        <f t="shared" si="22"/>
        <v>14.332202666666674</v>
      </c>
      <c r="H84" s="109">
        <f t="shared" si="22"/>
        <v>-202.9815624913333</v>
      </c>
      <c r="I84" s="109">
        <f t="shared" si="22"/>
        <v>-58.75922745242298</v>
      </c>
      <c r="J84" s="109">
        <f t="shared" si="22"/>
        <v>56.116386103715215</v>
      </c>
      <c r="K84" s="109">
        <f t="shared" si="22"/>
        <v>52.34350826765406</v>
      </c>
      <c r="L84" s="109">
        <f t="shared" si="22"/>
        <v>49.58107003403104</v>
      </c>
      <c r="M84" s="109">
        <f t="shared" si="22"/>
        <v>34.00018211261589</v>
      </c>
      <c r="N84" s="109">
        <f t="shared" si="22"/>
        <v>44.59420635784487</v>
      </c>
      <c r="O84" s="109">
        <f t="shared" si="22"/>
        <v>42.35682707909288</v>
      </c>
      <c r="P84" s="109">
        <f t="shared" si="22"/>
        <v>40.28203753612836</v>
      </c>
      <c r="Q84" s="109">
        <f t="shared" si="22"/>
        <v>148.12815014451343</v>
      </c>
      <c r="R84" s="109">
        <f t="shared" si="22"/>
        <v>135.11565035258963</v>
      </c>
      <c r="S84" s="109">
        <f>-SUM(S66:S83)+S61</f>
        <v>156.42939710001093</v>
      </c>
      <c r="T84" s="109">
        <f>-SUM(T66:T83)+T61</f>
        <v>90.81932848507614</v>
      </c>
      <c r="U84" s="109">
        <f>-SUM(U66:U83)+U61</f>
        <v>140.71999380463285</v>
      </c>
      <c r="V84" s="109">
        <f>-SUM(V66:V83)+V61</f>
        <v>196.755758922123</v>
      </c>
      <c r="W84" s="33"/>
      <c r="X84" s="52">
        <f>SUM(X66:X83)</f>
        <v>2009</v>
      </c>
      <c r="Y84" s="52">
        <f>SUM(Y66:Y83)</f>
        <v>119.774</v>
      </c>
    </row>
    <row r="85" spans="3:23" ht="13.5" thickTop="1">
      <c r="C85" s="4"/>
      <c r="D85" s="149"/>
      <c r="E85" s="185"/>
      <c r="F85" s="20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4"/>
    </row>
    <row r="86" spans="1:25" s="242" customFormat="1" ht="16.5" thickBot="1">
      <c r="A86" s="246" t="s">
        <v>49</v>
      </c>
      <c r="B86" s="247" t="s">
        <v>21</v>
      </c>
      <c r="C86" s="248"/>
      <c r="D86" s="249">
        <f>+D84</f>
        <v>84.15050000000002</v>
      </c>
      <c r="E86" s="249">
        <f>+D86+E84</f>
        <v>310.045</v>
      </c>
      <c r="F86" s="249">
        <f aca="true" t="shared" si="23" ref="F86:R86">+E86+F84</f>
        <v>375.50166666666667</v>
      </c>
      <c r="G86" s="249">
        <f t="shared" si="23"/>
        <v>389.8338693333333</v>
      </c>
      <c r="H86" s="249">
        <f t="shared" si="23"/>
        <v>186.85230684200002</v>
      </c>
      <c r="I86" s="249">
        <f t="shared" si="23"/>
        <v>128.09307938957704</v>
      </c>
      <c r="J86" s="249">
        <f t="shared" si="23"/>
        <v>184.20946549329227</v>
      </c>
      <c r="K86" s="249">
        <f t="shared" si="23"/>
        <v>236.55297376094632</v>
      </c>
      <c r="L86" s="249">
        <f t="shared" si="23"/>
        <v>286.13404379497734</v>
      </c>
      <c r="M86" s="249">
        <f t="shared" si="23"/>
        <v>320.13422590759325</v>
      </c>
      <c r="N86" s="249">
        <f t="shared" si="23"/>
        <v>364.72843226543813</v>
      </c>
      <c r="O86" s="249">
        <f t="shared" si="23"/>
        <v>407.085259344531</v>
      </c>
      <c r="P86" s="249">
        <f t="shared" si="23"/>
        <v>447.36729688065935</v>
      </c>
      <c r="Q86" s="249">
        <f t="shared" si="23"/>
        <v>595.4954470251728</v>
      </c>
      <c r="R86" s="249">
        <f t="shared" si="23"/>
        <v>730.6110973777625</v>
      </c>
      <c r="S86" s="249">
        <f>+R86+S84</f>
        <v>887.0404944777733</v>
      </c>
      <c r="T86" s="249">
        <f>+S86+T84</f>
        <v>977.8598229628494</v>
      </c>
      <c r="U86" s="249">
        <f>+T86+U84</f>
        <v>1118.5798167674823</v>
      </c>
      <c r="V86" s="249">
        <f>+U86+V84</f>
        <v>1315.3355756896053</v>
      </c>
      <c r="W86" s="239"/>
      <c r="X86" s="240"/>
      <c r="Y86" s="241"/>
    </row>
    <row r="87" spans="1:25" s="167" customFormat="1" ht="15.75">
      <c r="A87" s="30"/>
      <c r="B87" s="244"/>
      <c r="C87" s="208"/>
      <c r="D87" s="207"/>
      <c r="E87" s="207"/>
      <c r="F87" s="207"/>
      <c r="G87" s="209"/>
      <c r="H87" s="209"/>
      <c r="I87" s="209"/>
      <c r="J87" s="209"/>
      <c r="K87" s="209"/>
      <c r="L87" s="207"/>
      <c r="M87" s="209"/>
      <c r="N87" s="207"/>
      <c r="O87" s="209"/>
      <c r="P87" s="209"/>
      <c r="Q87" s="209"/>
      <c r="R87" s="207"/>
      <c r="S87" s="207"/>
      <c r="T87" s="207"/>
      <c r="U87" s="207"/>
      <c r="V87" s="207"/>
      <c r="W87" s="208"/>
      <c r="X87" s="210"/>
      <c r="Y87" s="211"/>
    </row>
    <row r="88" spans="1:25" s="225" customFormat="1" ht="15.75">
      <c r="A88" s="228"/>
      <c r="B88" s="233" t="s">
        <v>122</v>
      </c>
      <c r="C88" s="234"/>
      <c r="D88" s="234">
        <f>-SUM(D67:D81)</f>
        <v>-96</v>
      </c>
      <c r="E88" s="234">
        <f aca="true" t="shared" si="24" ref="E88:V88">-SUM(E67:E81)</f>
        <v>213.7</v>
      </c>
      <c r="F88" s="234">
        <f t="shared" si="24"/>
        <v>-25</v>
      </c>
      <c r="G88" s="234">
        <f t="shared" si="24"/>
        <v>-25</v>
      </c>
      <c r="H88" s="234">
        <f t="shared" si="24"/>
        <v>-948</v>
      </c>
      <c r="I88" s="234">
        <f t="shared" si="24"/>
        <v>-105</v>
      </c>
      <c r="J88" s="234">
        <f t="shared" si="24"/>
        <v>0</v>
      </c>
      <c r="K88" s="234">
        <f t="shared" si="24"/>
        <v>0</v>
      </c>
      <c r="L88" s="234">
        <f t="shared" si="24"/>
        <v>0</v>
      </c>
      <c r="M88" s="234">
        <f t="shared" si="24"/>
        <v>0</v>
      </c>
      <c r="N88" s="234">
        <f t="shared" si="24"/>
        <v>0</v>
      </c>
      <c r="O88" s="234">
        <f t="shared" si="24"/>
        <v>0</v>
      </c>
      <c r="P88" s="234">
        <f t="shared" si="24"/>
        <v>0</v>
      </c>
      <c r="Q88" s="234">
        <f t="shared" si="24"/>
        <v>0</v>
      </c>
      <c r="R88" s="234">
        <f t="shared" si="24"/>
        <v>0</v>
      </c>
      <c r="S88" s="234">
        <f t="shared" si="24"/>
        <v>0</v>
      </c>
      <c r="T88" s="234">
        <f t="shared" si="24"/>
        <v>-100</v>
      </c>
      <c r="U88" s="234">
        <f t="shared" si="24"/>
        <v>-100</v>
      </c>
      <c r="V88" s="235">
        <f t="shared" si="24"/>
        <v>-100</v>
      </c>
      <c r="W88" s="232"/>
      <c r="X88" s="236"/>
      <c r="Y88" s="237"/>
    </row>
    <row r="89" spans="1:25" s="242" customFormat="1" ht="15.75">
      <c r="A89" s="238"/>
      <c r="B89" s="233" t="s">
        <v>121</v>
      </c>
      <c r="C89" s="234">
        <v>1891</v>
      </c>
      <c r="D89" s="234">
        <f>+C89+D88</f>
        <v>1795</v>
      </c>
      <c r="E89" s="234">
        <f aca="true" t="shared" si="25" ref="E89:V89">+D89+E88</f>
        <v>2008.7</v>
      </c>
      <c r="F89" s="234">
        <f t="shared" si="25"/>
        <v>1983.7</v>
      </c>
      <c r="G89" s="234">
        <f t="shared" si="25"/>
        <v>1958.7</v>
      </c>
      <c r="H89" s="234">
        <f t="shared" si="25"/>
        <v>1010.7</v>
      </c>
      <c r="I89" s="234">
        <f t="shared" si="25"/>
        <v>905.7</v>
      </c>
      <c r="J89" s="234">
        <f t="shared" si="25"/>
        <v>905.7</v>
      </c>
      <c r="K89" s="234">
        <f t="shared" si="25"/>
        <v>905.7</v>
      </c>
      <c r="L89" s="234">
        <f t="shared" si="25"/>
        <v>905.7</v>
      </c>
      <c r="M89" s="234">
        <f t="shared" si="25"/>
        <v>905.7</v>
      </c>
      <c r="N89" s="234">
        <f t="shared" si="25"/>
        <v>905.7</v>
      </c>
      <c r="O89" s="234">
        <f t="shared" si="25"/>
        <v>905.7</v>
      </c>
      <c r="P89" s="234">
        <f t="shared" si="25"/>
        <v>905.7</v>
      </c>
      <c r="Q89" s="234">
        <f t="shared" si="25"/>
        <v>905.7</v>
      </c>
      <c r="R89" s="234">
        <f t="shared" si="25"/>
        <v>905.7</v>
      </c>
      <c r="S89" s="234">
        <f t="shared" si="25"/>
        <v>905.7</v>
      </c>
      <c r="T89" s="234">
        <f t="shared" si="25"/>
        <v>805.7</v>
      </c>
      <c r="U89" s="234">
        <f t="shared" si="25"/>
        <v>705.7</v>
      </c>
      <c r="V89" s="235">
        <f t="shared" si="25"/>
        <v>605.7</v>
      </c>
      <c r="W89" s="239"/>
      <c r="X89" s="240"/>
      <c r="Y89" s="241"/>
    </row>
    <row r="90" spans="1:25" s="15" customFormat="1" ht="12.75">
      <c r="A90" s="16"/>
      <c r="B90" s="114" t="s">
        <v>91</v>
      </c>
      <c r="C90" s="115"/>
      <c r="D90" s="116"/>
      <c r="E90" s="116">
        <v>5.6</v>
      </c>
      <c r="F90" s="116">
        <f>+E90+5.6</f>
        <v>11.2</v>
      </c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7"/>
      <c r="W90" s="33"/>
      <c r="X90" s="35"/>
      <c r="Y90" s="17"/>
    </row>
    <row r="91" spans="1:25" s="15" customFormat="1" ht="12.75">
      <c r="A91" s="16"/>
      <c r="D91" s="96"/>
      <c r="E91" s="34"/>
      <c r="F91" s="34"/>
      <c r="G91" s="34"/>
      <c r="H91" s="34"/>
      <c r="I91" s="34"/>
      <c r="J91" s="34"/>
      <c r="K91" s="34"/>
      <c r="L91" s="96"/>
      <c r="M91" s="34"/>
      <c r="N91" s="96"/>
      <c r="O91" s="34"/>
      <c r="P91" s="34"/>
      <c r="Q91" s="34"/>
      <c r="R91" s="34"/>
      <c r="S91" s="34"/>
      <c r="T91" s="34"/>
      <c r="U91" s="34"/>
      <c r="V91" s="34"/>
      <c r="W91" s="33"/>
      <c r="X91" s="35"/>
      <c r="Y91" s="17"/>
    </row>
    <row r="92" spans="2:26" ht="15.75">
      <c r="B92" s="231" t="s">
        <v>47</v>
      </c>
      <c r="P92" s="251"/>
      <c r="Q92" s="251"/>
      <c r="R92" s="251"/>
      <c r="S92" s="251"/>
      <c r="T92" s="251"/>
      <c r="U92" s="251"/>
      <c r="V92" s="251"/>
      <c r="W92" s="251"/>
      <c r="X92" s="252"/>
      <c r="Y92" s="253"/>
      <c r="Z92" s="251"/>
    </row>
    <row r="93" spans="2:26" ht="12.75">
      <c r="B93" s="50"/>
      <c r="P93" s="251"/>
      <c r="Q93" s="251"/>
      <c r="R93" s="251"/>
      <c r="S93" s="251"/>
      <c r="T93" s="251"/>
      <c r="U93" s="251"/>
      <c r="V93" s="251"/>
      <c r="W93" s="251"/>
      <c r="X93" s="252"/>
      <c r="Y93" s="253"/>
      <c r="Z93" s="251"/>
    </row>
    <row r="98" ht="12.75">
      <c r="L98" s="77"/>
    </row>
  </sheetData>
  <printOptions/>
  <pageMargins left="0.75" right="0.75" top="1" bottom="1" header="0.5" footer="0.5"/>
  <pageSetup orientation="portrait" paperSize="9" r:id="rId3"/>
  <ignoredErrors>
    <ignoredError sqref="Q47:Q56" formula="1"/>
    <ignoredError sqref="H88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13" ht="31.5">
      <c r="B1" s="104" t="s">
        <v>119</v>
      </c>
      <c r="G1" s="57"/>
      <c r="H1" s="58"/>
      <c r="I1" s="57"/>
      <c r="J1" s="58" t="s">
        <v>108</v>
      </c>
      <c r="K1" s="57"/>
      <c r="L1" s="57"/>
      <c r="M1" s="57"/>
    </row>
    <row r="2" spans="1:25" s="89" customFormat="1" ht="24.75" customHeight="1">
      <c r="A2" s="29"/>
      <c r="B2" s="88"/>
      <c r="H2" s="90"/>
      <c r="J2" s="230" t="s">
        <v>129</v>
      </c>
      <c r="X2" s="91"/>
      <c r="Y2" s="92"/>
    </row>
    <row r="3" spans="2:6" ht="20.25">
      <c r="B3" s="105" t="s">
        <v>97</v>
      </c>
      <c r="C3" s="86"/>
      <c r="D3" s="176"/>
      <c r="E3" s="95"/>
      <c r="F3" s="87"/>
    </row>
    <row r="4" spans="1:25" s="18" customFormat="1" ht="13.5" thickBot="1">
      <c r="A4" s="16"/>
      <c r="C4" s="135"/>
      <c r="D4" s="166" t="s">
        <v>18</v>
      </c>
      <c r="E4" s="41" t="s">
        <v>0</v>
      </c>
      <c r="F4" s="19" t="s">
        <v>1</v>
      </c>
      <c r="G4" s="19" t="s">
        <v>2</v>
      </c>
      <c r="H4" s="19" t="s">
        <v>3</v>
      </c>
      <c r="I4" s="20" t="s">
        <v>4</v>
      </c>
      <c r="J4" s="20" t="s">
        <v>5</v>
      </c>
      <c r="K4" s="20" t="s">
        <v>6</v>
      </c>
      <c r="L4" s="20" t="s">
        <v>7</v>
      </c>
      <c r="M4" s="21" t="s">
        <v>8</v>
      </c>
      <c r="N4" s="21" t="s">
        <v>9</v>
      </c>
      <c r="O4" s="21" t="s">
        <v>10</v>
      </c>
      <c r="P4" s="21" t="s">
        <v>11</v>
      </c>
      <c r="Q4" s="18">
        <v>2015</v>
      </c>
      <c r="R4" s="18">
        <v>2016</v>
      </c>
      <c r="S4" s="18">
        <v>2017</v>
      </c>
      <c r="T4" s="18">
        <v>2018</v>
      </c>
      <c r="U4" s="18">
        <v>2019</v>
      </c>
      <c r="V4" s="18">
        <v>2020</v>
      </c>
      <c r="W4" s="16"/>
      <c r="X4" s="23"/>
      <c r="Y4" s="22"/>
    </row>
    <row r="5" spans="2:25" s="120" customFormat="1" ht="17.25" thickBot="1">
      <c r="B5" s="127" t="s">
        <v>92</v>
      </c>
      <c r="C5" s="128"/>
      <c r="D5" s="177"/>
      <c r="E5" s="174"/>
      <c r="F5" s="129"/>
      <c r="G5" s="129">
        <v>0.0225</v>
      </c>
      <c r="H5" s="130">
        <f aca="true" t="shared" si="0" ref="H5:O6">+G5</f>
        <v>0.0225</v>
      </c>
      <c r="I5" s="129">
        <f t="shared" si="0"/>
        <v>0.0225</v>
      </c>
      <c r="J5" s="129">
        <f t="shared" si="0"/>
        <v>0.0225</v>
      </c>
      <c r="K5" s="129">
        <f t="shared" si="0"/>
        <v>0.0225</v>
      </c>
      <c r="L5" s="130">
        <f t="shared" si="0"/>
        <v>0.0225</v>
      </c>
      <c r="M5" s="172">
        <f t="shared" si="0"/>
        <v>0.0225</v>
      </c>
      <c r="N5" s="129">
        <f t="shared" si="0"/>
        <v>0.0225</v>
      </c>
      <c r="O5" s="129">
        <f t="shared" si="0"/>
        <v>0.0225</v>
      </c>
      <c r="P5" s="130">
        <f>+O5</f>
        <v>0.0225</v>
      </c>
      <c r="Q5" s="170">
        <v>0.15</v>
      </c>
      <c r="R5" s="170">
        <v>0.15</v>
      </c>
      <c r="S5" s="130">
        <v>0.15</v>
      </c>
      <c r="T5" s="130">
        <v>0.15</v>
      </c>
      <c r="U5" s="130">
        <v>0.15</v>
      </c>
      <c r="V5" s="130">
        <v>0.15</v>
      </c>
      <c r="X5" s="125"/>
      <c r="Y5" s="126"/>
    </row>
    <row r="6" spans="2:25" s="120" customFormat="1" ht="17.25" thickBot="1">
      <c r="B6" s="121" t="s">
        <v>93</v>
      </c>
      <c r="C6" s="122"/>
      <c r="D6" s="122"/>
      <c r="E6" s="171"/>
      <c r="F6" s="189"/>
      <c r="G6" s="123">
        <v>-0.044</v>
      </c>
      <c r="H6" s="124">
        <f t="shared" si="0"/>
        <v>-0.044</v>
      </c>
      <c r="I6" s="173">
        <f t="shared" si="0"/>
        <v>-0.044</v>
      </c>
      <c r="J6" s="123">
        <f t="shared" si="0"/>
        <v>-0.044</v>
      </c>
      <c r="K6" s="123">
        <f t="shared" si="0"/>
        <v>-0.044</v>
      </c>
      <c r="L6" s="124">
        <f t="shared" si="0"/>
        <v>-0.044</v>
      </c>
      <c r="M6" s="173">
        <f t="shared" si="0"/>
        <v>-0.044</v>
      </c>
      <c r="N6" s="123">
        <f t="shared" si="0"/>
        <v>-0.044</v>
      </c>
      <c r="O6" s="123">
        <f t="shared" si="0"/>
        <v>-0.044</v>
      </c>
      <c r="P6" s="124">
        <f>+O6</f>
        <v>-0.044</v>
      </c>
      <c r="Q6" s="171">
        <v>-0.15</v>
      </c>
      <c r="R6" s="171">
        <v>-0.15</v>
      </c>
      <c r="S6" s="124">
        <v>-0.1</v>
      </c>
      <c r="T6" s="124">
        <v>-0.05</v>
      </c>
      <c r="U6" s="124">
        <v>0</v>
      </c>
      <c r="V6" s="124">
        <v>0</v>
      </c>
      <c r="X6" s="125"/>
      <c r="Y6" s="126"/>
    </row>
    <row r="7" spans="2:6" ht="20.25">
      <c r="B7" s="85"/>
      <c r="C7" s="86"/>
      <c r="D7" s="86"/>
      <c r="E7" s="95"/>
      <c r="F7" s="190"/>
    </row>
    <row r="8" spans="1:25" s="15" customFormat="1" ht="15.75">
      <c r="A8" s="16"/>
      <c r="D8" s="146"/>
      <c r="E8" s="181"/>
      <c r="F8" s="191" t="s">
        <v>53</v>
      </c>
      <c r="X8" s="23"/>
      <c r="Y8" s="22"/>
    </row>
    <row r="9" spans="1:25" s="18" customFormat="1" ht="12.75">
      <c r="A9" s="16"/>
      <c r="C9" s="135" t="s">
        <v>34</v>
      </c>
      <c r="D9" s="166" t="s">
        <v>18</v>
      </c>
      <c r="E9" s="188" t="s">
        <v>0</v>
      </c>
      <c r="F9" s="192" t="s">
        <v>1</v>
      </c>
      <c r="G9" s="19" t="s">
        <v>2</v>
      </c>
      <c r="H9" s="19" t="s">
        <v>3</v>
      </c>
      <c r="I9" s="20" t="s">
        <v>4</v>
      </c>
      <c r="J9" s="20" t="s">
        <v>5</v>
      </c>
      <c r="K9" s="20" t="s">
        <v>6</v>
      </c>
      <c r="L9" s="20" t="s">
        <v>7</v>
      </c>
      <c r="M9" s="21" t="s">
        <v>8</v>
      </c>
      <c r="N9" s="21" t="s">
        <v>9</v>
      </c>
      <c r="O9" s="21" t="s">
        <v>10</v>
      </c>
      <c r="P9" s="21" t="s">
        <v>11</v>
      </c>
      <c r="Q9" s="18">
        <v>2015</v>
      </c>
      <c r="R9" s="18">
        <v>2016</v>
      </c>
      <c r="S9" s="18">
        <v>2017</v>
      </c>
      <c r="T9" s="18">
        <v>2018</v>
      </c>
      <c r="U9" s="18">
        <v>2019</v>
      </c>
      <c r="V9" s="18">
        <v>2020</v>
      </c>
      <c r="W9" s="16" t="s">
        <v>43</v>
      </c>
      <c r="X9" s="23"/>
      <c r="Y9" s="22"/>
    </row>
    <row r="10" spans="1:25" s="2" customFormat="1" ht="12.75">
      <c r="A10" s="29"/>
      <c r="B10" s="48" t="s">
        <v>54</v>
      </c>
      <c r="C10" s="136"/>
      <c r="D10" s="140"/>
      <c r="E10" s="140"/>
      <c r="F10" s="193"/>
      <c r="X10" s="9"/>
      <c r="Y10" s="11"/>
    </row>
    <row r="11" spans="1:25" s="2" customFormat="1" ht="12.75">
      <c r="A11" s="29"/>
      <c r="B11" s="94"/>
      <c r="C11" s="136"/>
      <c r="D11" s="140"/>
      <c r="E11" s="140"/>
      <c r="F11" s="193"/>
      <c r="X11" s="9"/>
      <c r="Y11" s="11"/>
    </row>
    <row r="12" spans="1:25" s="2" customFormat="1" ht="12.75">
      <c r="A12" s="29"/>
      <c r="B12" s="65" t="s">
        <v>67</v>
      </c>
      <c r="C12" s="136"/>
      <c r="D12" s="148">
        <v>90</v>
      </c>
      <c r="E12" s="148">
        <v>85.9</v>
      </c>
      <c r="F12" s="194">
        <v>89.7</v>
      </c>
      <c r="G12" s="12">
        <f aca="true" t="shared" si="1" ref="G12:P12">+F12*(1+G13)</f>
        <v>91.71825</v>
      </c>
      <c r="H12" s="12">
        <f t="shared" si="1"/>
        <v>93.781910625</v>
      </c>
      <c r="I12" s="12">
        <f t="shared" si="1"/>
        <v>95.89200361406249</v>
      </c>
      <c r="J12" s="12">
        <f t="shared" si="1"/>
        <v>98.0495736953789</v>
      </c>
      <c r="K12" s="12">
        <f t="shared" si="1"/>
        <v>100.25568910352492</v>
      </c>
      <c r="L12" s="12">
        <f t="shared" si="1"/>
        <v>102.51144210835422</v>
      </c>
      <c r="M12" s="12">
        <f t="shared" si="1"/>
        <v>104.81794955579218</v>
      </c>
      <c r="N12" s="12">
        <f t="shared" si="1"/>
        <v>107.1763534207975</v>
      </c>
      <c r="O12" s="12">
        <f t="shared" si="1"/>
        <v>109.58782137276543</v>
      </c>
      <c r="P12" s="12">
        <f t="shared" si="1"/>
        <v>112.05354735365265</v>
      </c>
      <c r="Q12" s="12">
        <f>+P12*4</f>
        <v>448.2141894146106</v>
      </c>
      <c r="R12" s="12">
        <f>+Q12*(1+R13)</f>
        <v>515.4463178268021</v>
      </c>
      <c r="S12" s="12">
        <f>+R12*(1+S13)</f>
        <v>592.7632655008224</v>
      </c>
      <c r="T12" s="12">
        <f>+S12*(1+T13)</f>
        <v>681.6777553259457</v>
      </c>
      <c r="U12" s="12">
        <f>+T12*(1+U13)</f>
        <v>783.9294186248375</v>
      </c>
      <c r="V12" s="12">
        <f>+U12*(1+V13)</f>
        <v>901.518831418563</v>
      </c>
      <c r="X12" s="9"/>
      <c r="Y12" s="11"/>
    </row>
    <row r="13" spans="1:25" s="2" customFormat="1" ht="12.75">
      <c r="A13" s="29"/>
      <c r="B13" s="66" t="s">
        <v>70</v>
      </c>
      <c r="C13" s="137"/>
      <c r="D13" s="137"/>
      <c r="E13" s="182"/>
      <c r="F13" s="195"/>
      <c r="G13" s="70">
        <f aca="true" t="shared" si="2" ref="G13:R13">+G5</f>
        <v>0.0225</v>
      </c>
      <c r="H13" s="70">
        <f t="shared" si="2"/>
        <v>0.0225</v>
      </c>
      <c r="I13" s="70">
        <f t="shared" si="2"/>
        <v>0.0225</v>
      </c>
      <c r="J13" s="70">
        <f t="shared" si="2"/>
        <v>0.0225</v>
      </c>
      <c r="K13" s="70">
        <f t="shared" si="2"/>
        <v>0.0225</v>
      </c>
      <c r="L13" s="70">
        <f t="shared" si="2"/>
        <v>0.0225</v>
      </c>
      <c r="M13" s="70">
        <f t="shared" si="2"/>
        <v>0.0225</v>
      </c>
      <c r="N13" s="70">
        <f t="shared" si="2"/>
        <v>0.0225</v>
      </c>
      <c r="O13" s="70">
        <f t="shared" si="2"/>
        <v>0.0225</v>
      </c>
      <c r="P13" s="70">
        <f t="shared" si="2"/>
        <v>0.0225</v>
      </c>
      <c r="Q13" s="70">
        <f t="shared" si="2"/>
        <v>0.15</v>
      </c>
      <c r="R13" s="70">
        <f t="shared" si="2"/>
        <v>0.15</v>
      </c>
      <c r="S13" s="70">
        <f>+S5</f>
        <v>0.15</v>
      </c>
      <c r="T13" s="70">
        <f>+T5</f>
        <v>0.15</v>
      </c>
      <c r="U13" s="70">
        <f>+U5</f>
        <v>0.15</v>
      </c>
      <c r="V13" s="70">
        <f>+V5</f>
        <v>0.15</v>
      </c>
      <c r="X13" s="9"/>
      <c r="Y13" s="11"/>
    </row>
    <row r="14" spans="1:22" s="102" customFormat="1" ht="12.75">
      <c r="A14" s="100"/>
      <c r="B14" s="101" t="s">
        <v>106</v>
      </c>
      <c r="C14" s="98"/>
      <c r="D14" s="98">
        <v>0.394</v>
      </c>
      <c r="E14" s="98">
        <v>0.4</v>
      </c>
      <c r="F14" s="196">
        <f aca="true" t="shared" si="3" ref="F14:R14">+E14</f>
        <v>0.4</v>
      </c>
      <c r="G14" s="102">
        <f t="shared" si="3"/>
        <v>0.4</v>
      </c>
      <c r="H14" s="102">
        <f t="shared" si="3"/>
        <v>0.4</v>
      </c>
      <c r="I14" s="102">
        <f t="shared" si="3"/>
        <v>0.4</v>
      </c>
      <c r="J14" s="102">
        <f t="shared" si="3"/>
        <v>0.4</v>
      </c>
      <c r="K14" s="102">
        <f t="shared" si="3"/>
        <v>0.4</v>
      </c>
      <c r="L14" s="102">
        <f t="shared" si="3"/>
        <v>0.4</v>
      </c>
      <c r="M14" s="102">
        <f t="shared" si="3"/>
        <v>0.4</v>
      </c>
      <c r="N14" s="102">
        <f t="shared" si="3"/>
        <v>0.4</v>
      </c>
      <c r="O14" s="102">
        <f t="shared" si="3"/>
        <v>0.4</v>
      </c>
      <c r="P14" s="102">
        <f t="shared" si="3"/>
        <v>0.4</v>
      </c>
      <c r="Q14" s="102">
        <f t="shared" si="3"/>
        <v>0.4</v>
      </c>
      <c r="R14" s="102">
        <f t="shared" si="3"/>
        <v>0.4</v>
      </c>
      <c r="S14" s="102">
        <f>+R14</f>
        <v>0.4</v>
      </c>
      <c r="T14" s="102">
        <f>+S14</f>
        <v>0.4</v>
      </c>
      <c r="U14" s="102">
        <f>+T14</f>
        <v>0.4</v>
      </c>
      <c r="V14" s="102">
        <f>+U14</f>
        <v>0.4</v>
      </c>
    </row>
    <row r="15" spans="1:25" s="2" customFormat="1" ht="12.75">
      <c r="A15" s="29"/>
      <c r="B15" s="25" t="s">
        <v>69</v>
      </c>
      <c r="C15" s="136"/>
      <c r="D15" s="73">
        <f>+D12*D14</f>
        <v>35.46</v>
      </c>
      <c r="E15" s="73">
        <f>+E12*E14</f>
        <v>34.36000000000001</v>
      </c>
      <c r="F15" s="197">
        <f aca="true" t="shared" si="4" ref="F15:R15">+F12*F14</f>
        <v>35.88</v>
      </c>
      <c r="G15" s="73">
        <f t="shared" si="4"/>
        <v>36.6873</v>
      </c>
      <c r="H15" s="73">
        <f t="shared" si="4"/>
        <v>37.51276425</v>
      </c>
      <c r="I15" s="73">
        <f t="shared" si="4"/>
        <v>38.356801445624995</v>
      </c>
      <c r="J15" s="73">
        <f t="shared" si="4"/>
        <v>39.21982947815156</v>
      </c>
      <c r="K15" s="73">
        <f t="shared" si="4"/>
        <v>40.10227564140997</v>
      </c>
      <c r="L15" s="73">
        <f t="shared" si="4"/>
        <v>41.00457684334169</v>
      </c>
      <c r="M15" s="73">
        <f t="shared" si="4"/>
        <v>41.92717982231687</v>
      </c>
      <c r="N15" s="73">
        <f t="shared" si="4"/>
        <v>42.870541368319</v>
      </c>
      <c r="O15" s="73">
        <f t="shared" si="4"/>
        <v>43.83512854910617</v>
      </c>
      <c r="P15" s="73">
        <f t="shared" si="4"/>
        <v>44.82141894146106</v>
      </c>
      <c r="Q15" s="73">
        <f t="shared" si="4"/>
        <v>179.28567576584425</v>
      </c>
      <c r="R15" s="73">
        <f t="shared" si="4"/>
        <v>206.17852713072085</v>
      </c>
      <c r="S15" s="73">
        <f>+S12*S14</f>
        <v>237.10530620032898</v>
      </c>
      <c r="T15" s="73">
        <f>+T12*T14</f>
        <v>272.6711021303783</v>
      </c>
      <c r="U15" s="73">
        <f>+U12*U14</f>
        <v>313.571767449935</v>
      </c>
      <c r="V15" s="73">
        <f>+V12*V14</f>
        <v>360.6075325674252</v>
      </c>
      <c r="X15" s="9"/>
      <c r="Y15" s="11"/>
    </row>
    <row r="16" spans="1:25" s="2" customFormat="1" ht="12.75">
      <c r="A16" s="29"/>
      <c r="B16" s="65"/>
      <c r="C16" s="136"/>
      <c r="D16" s="148"/>
      <c r="E16" s="148"/>
      <c r="F16" s="19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29"/>
      <c r="B17" s="65" t="s">
        <v>68</v>
      </c>
      <c r="C17" s="136"/>
      <c r="D17" s="148">
        <v>223.3</v>
      </c>
      <c r="E17" s="148">
        <f>+E22-E12</f>
        <v>203.20000000000002</v>
      </c>
      <c r="F17" s="194">
        <f>+F22-F12</f>
        <v>196.8</v>
      </c>
      <c r="G17" s="12">
        <f aca="true" t="shared" si="5" ref="G17:R17">+F17*(1+G18)</f>
        <v>188.1408</v>
      </c>
      <c r="H17" s="12">
        <f t="shared" si="5"/>
        <v>179.8626048</v>
      </c>
      <c r="I17" s="12">
        <f t="shared" si="5"/>
        <v>171.9486501888</v>
      </c>
      <c r="J17" s="12">
        <f t="shared" si="5"/>
        <v>164.3829095804928</v>
      </c>
      <c r="K17" s="12">
        <f t="shared" si="5"/>
        <v>157.1500615589511</v>
      </c>
      <c r="L17" s="12">
        <f t="shared" si="5"/>
        <v>150.23545885035725</v>
      </c>
      <c r="M17" s="12">
        <f t="shared" si="5"/>
        <v>143.62509866094152</v>
      </c>
      <c r="N17" s="12">
        <f t="shared" si="5"/>
        <v>137.3055943198601</v>
      </c>
      <c r="O17" s="12">
        <f t="shared" si="5"/>
        <v>131.26414816978624</v>
      </c>
      <c r="P17" s="12">
        <f t="shared" si="5"/>
        <v>125.48852565031564</v>
      </c>
      <c r="Q17" s="12">
        <f>+P17*4</f>
        <v>501.95410260126255</v>
      </c>
      <c r="R17" s="12">
        <f t="shared" si="5"/>
        <v>426.6609872110732</v>
      </c>
      <c r="S17" s="12">
        <f>+R17*(1+S18)</f>
        <v>383.9948884899659</v>
      </c>
      <c r="T17" s="12">
        <f>+S17*(1+T18)</f>
        <v>364.7951440654676</v>
      </c>
      <c r="U17" s="12">
        <f>+T17*(1+U18)</f>
        <v>364.7951440654676</v>
      </c>
      <c r="V17" s="12">
        <f>+U17*(1+V18)</f>
        <v>364.7951440654676</v>
      </c>
      <c r="X17" s="9"/>
      <c r="Y17" s="11"/>
    </row>
    <row r="18" spans="1:25" s="2" customFormat="1" ht="12.75">
      <c r="A18" s="29"/>
      <c r="B18" s="66" t="s">
        <v>73</v>
      </c>
      <c r="C18" s="136"/>
      <c r="D18" s="148"/>
      <c r="E18" s="183"/>
      <c r="F18" s="198"/>
      <c r="G18" s="71">
        <f aca="true" t="shared" si="6" ref="G18:R18">+G6</f>
        <v>-0.044</v>
      </c>
      <c r="H18" s="71">
        <f t="shared" si="6"/>
        <v>-0.044</v>
      </c>
      <c r="I18" s="71">
        <f t="shared" si="6"/>
        <v>-0.044</v>
      </c>
      <c r="J18" s="71">
        <f t="shared" si="6"/>
        <v>-0.044</v>
      </c>
      <c r="K18" s="71">
        <f t="shared" si="6"/>
        <v>-0.044</v>
      </c>
      <c r="L18" s="71">
        <f t="shared" si="6"/>
        <v>-0.044</v>
      </c>
      <c r="M18" s="71">
        <f t="shared" si="6"/>
        <v>-0.044</v>
      </c>
      <c r="N18" s="71">
        <f t="shared" si="6"/>
        <v>-0.044</v>
      </c>
      <c r="O18" s="71">
        <f t="shared" si="6"/>
        <v>-0.044</v>
      </c>
      <c r="P18" s="71">
        <f t="shared" si="6"/>
        <v>-0.044</v>
      </c>
      <c r="Q18" s="71">
        <f t="shared" si="6"/>
        <v>-0.15</v>
      </c>
      <c r="R18" s="71">
        <f t="shared" si="6"/>
        <v>-0.15</v>
      </c>
      <c r="S18" s="71">
        <f>+S6</f>
        <v>-0.1</v>
      </c>
      <c r="T18" s="71">
        <f>+T6</f>
        <v>-0.05</v>
      </c>
      <c r="U18" s="71">
        <f>+U6</f>
        <v>0</v>
      </c>
      <c r="V18" s="71">
        <f>+V6</f>
        <v>0</v>
      </c>
      <c r="X18" s="9"/>
      <c r="Y18" s="11"/>
    </row>
    <row r="19" spans="1:23" s="102" customFormat="1" ht="15">
      <c r="A19" s="100"/>
      <c r="B19" s="101" t="s">
        <v>106</v>
      </c>
      <c r="C19" s="138"/>
      <c r="D19" s="98">
        <v>0.5</v>
      </c>
      <c r="E19" s="98">
        <v>0.55</v>
      </c>
      <c r="F19" s="196">
        <v>0.56</v>
      </c>
      <c r="G19" s="98">
        <v>0.545</v>
      </c>
      <c r="H19" s="98">
        <v>0.54</v>
      </c>
      <c r="I19" s="98">
        <v>0.54</v>
      </c>
      <c r="J19" s="98">
        <v>0.535</v>
      </c>
      <c r="K19" s="98">
        <v>0.53</v>
      </c>
      <c r="L19" s="98">
        <v>0.53</v>
      </c>
      <c r="M19" s="98">
        <v>0.53</v>
      </c>
      <c r="N19" s="98">
        <v>0.53</v>
      </c>
      <c r="O19" s="98">
        <v>0.53</v>
      </c>
      <c r="P19" s="98">
        <v>0.53</v>
      </c>
      <c r="Q19" s="98">
        <v>0.53</v>
      </c>
      <c r="R19" s="98">
        <v>0.53</v>
      </c>
      <c r="S19" s="98">
        <v>0.53</v>
      </c>
      <c r="T19" s="98">
        <v>0.53</v>
      </c>
      <c r="U19" s="98">
        <v>0.53</v>
      </c>
      <c r="V19" s="98">
        <v>0.53</v>
      </c>
      <c r="W19" s="119"/>
    </row>
    <row r="20" spans="1:25" s="2" customFormat="1" ht="12.75">
      <c r="A20" s="29"/>
      <c r="B20" s="25" t="s">
        <v>71</v>
      </c>
      <c r="C20" s="136"/>
      <c r="D20" s="73">
        <f>+D17*D19</f>
        <v>111.65</v>
      </c>
      <c r="E20" s="73">
        <f>+E23-E15</f>
        <v>111.63999999999999</v>
      </c>
      <c r="F20" s="197">
        <f>+F23-F15</f>
        <v>109.32</v>
      </c>
      <c r="G20" s="73">
        <f aca="true" t="shared" si="7" ref="G20:R20">+G17*G19</f>
        <v>102.53673600000002</v>
      </c>
      <c r="H20" s="73">
        <f t="shared" si="7"/>
        <v>97.12580659200002</v>
      </c>
      <c r="I20" s="73">
        <f t="shared" si="7"/>
        <v>92.85227110195201</v>
      </c>
      <c r="J20" s="73">
        <f t="shared" si="7"/>
        <v>87.94485662556365</v>
      </c>
      <c r="K20" s="73">
        <f t="shared" si="7"/>
        <v>83.2895326262441</v>
      </c>
      <c r="L20" s="73">
        <f t="shared" si="7"/>
        <v>79.62479319068935</v>
      </c>
      <c r="M20" s="73">
        <f t="shared" si="7"/>
        <v>76.12130229029901</v>
      </c>
      <c r="N20" s="73">
        <f t="shared" si="7"/>
        <v>72.77196498952586</v>
      </c>
      <c r="O20" s="73">
        <f t="shared" si="7"/>
        <v>69.5699985299867</v>
      </c>
      <c r="P20" s="73">
        <f t="shared" si="7"/>
        <v>66.50891859466729</v>
      </c>
      <c r="Q20" s="73">
        <f t="shared" si="7"/>
        <v>266.03567437866917</v>
      </c>
      <c r="R20" s="73">
        <f t="shared" si="7"/>
        <v>226.1303232218688</v>
      </c>
      <c r="S20" s="73">
        <f>+S17*S19</f>
        <v>203.51729089968194</v>
      </c>
      <c r="T20" s="73">
        <f>+T17*T19</f>
        <v>193.34142635469783</v>
      </c>
      <c r="U20" s="73">
        <f>+U17*U19</f>
        <v>193.34142635469783</v>
      </c>
      <c r="V20" s="73">
        <f>+V17*V19</f>
        <v>193.34142635469783</v>
      </c>
      <c r="X20" s="9"/>
      <c r="Y20" s="11"/>
    </row>
    <row r="21" spans="1:25" s="2" customFormat="1" ht="12.75">
      <c r="A21" s="29"/>
      <c r="B21" s="66"/>
      <c r="C21" s="136"/>
      <c r="D21" s="36"/>
      <c r="E21" s="36"/>
      <c r="F21" s="199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X21" s="9"/>
      <c r="Y21" s="11"/>
    </row>
    <row r="22" spans="1:25" s="2" customFormat="1" ht="12.75">
      <c r="A22" s="29"/>
      <c r="B22" s="66" t="s">
        <v>74</v>
      </c>
      <c r="C22" s="136"/>
      <c r="D22" s="148">
        <f>+D12+D17</f>
        <v>313.3</v>
      </c>
      <c r="E22" s="148">
        <v>289.1</v>
      </c>
      <c r="F22" s="194">
        <v>286.5</v>
      </c>
      <c r="G22" s="12">
        <f aca="true" t="shared" si="8" ref="G22:R22">+G12+G17</f>
        <v>279.85905</v>
      </c>
      <c r="H22" s="12">
        <f t="shared" si="8"/>
        <v>273.644515425</v>
      </c>
      <c r="I22" s="12">
        <f t="shared" si="8"/>
        <v>267.8406538028625</v>
      </c>
      <c r="J22" s="12">
        <f t="shared" si="8"/>
        <v>262.4324832758717</v>
      </c>
      <c r="K22" s="12">
        <f t="shared" si="8"/>
        <v>257.405750662476</v>
      </c>
      <c r="L22" s="12">
        <f t="shared" si="8"/>
        <v>252.74690095871148</v>
      </c>
      <c r="M22" s="12">
        <f t="shared" si="8"/>
        <v>248.4430482167337</v>
      </c>
      <c r="N22" s="12">
        <f t="shared" si="8"/>
        <v>244.48194774065757</v>
      </c>
      <c r="O22" s="12">
        <f t="shared" si="8"/>
        <v>240.85196954255167</v>
      </c>
      <c r="P22" s="12">
        <f t="shared" si="8"/>
        <v>237.54207300396828</v>
      </c>
      <c r="Q22" s="12">
        <f t="shared" si="8"/>
        <v>950.1682920158731</v>
      </c>
      <c r="R22" s="12">
        <f t="shared" si="8"/>
        <v>942.1073050378752</v>
      </c>
      <c r="S22" s="12">
        <f>+S12+S17</f>
        <v>976.7581539907883</v>
      </c>
      <c r="T22" s="12">
        <f>+T12+T17</f>
        <v>1046.4728993914132</v>
      </c>
      <c r="U22" s="12">
        <f>+U12+U17</f>
        <v>1148.724562690305</v>
      </c>
      <c r="V22" s="12">
        <f>+V12+V17</f>
        <v>1266.3139754840306</v>
      </c>
      <c r="X22" s="9"/>
      <c r="Y22" s="11"/>
    </row>
    <row r="23" spans="1:25" s="25" customFormat="1" ht="13.5" thickBot="1">
      <c r="A23" s="30" t="s">
        <v>14</v>
      </c>
      <c r="B23" s="30" t="s">
        <v>99</v>
      </c>
      <c r="C23" s="139"/>
      <c r="D23" s="74">
        <f>+D15+D20</f>
        <v>147.11</v>
      </c>
      <c r="E23" s="74">
        <v>146</v>
      </c>
      <c r="F23" s="200">
        <v>145.2</v>
      </c>
      <c r="G23" s="74">
        <f aca="true" t="shared" si="9" ref="G23:R23">+G15+G20</f>
        <v>139.224036</v>
      </c>
      <c r="H23" s="74">
        <f t="shared" si="9"/>
        <v>134.638570842</v>
      </c>
      <c r="I23" s="74">
        <f t="shared" si="9"/>
        <v>131.20907254757702</v>
      </c>
      <c r="J23" s="74">
        <f t="shared" si="9"/>
        <v>127.16468610371521</v>
      </c>
      <c r="K23" s="74">
        <f t="shared" si="9"/>
        <v>123.39180826765406</v>
      </c>
      <c r="L23" s="74">
        <f t="shared" si="9"/>
        <v>120.62937003403104</v>
      </c>
      <c r="M23" s="74">
        <f t="shared" si="9"/>
        <v>118.04848211261589</v>
      </c>
      <c r="N23" s="74">
        <f t="shared" si="9"/>
        <v>115.64250635784487</v>
      </c>
      <c r="O23" s="74">
        <f t="shared" si="9"/>
        <v>113.40512707909288</v>
      </c>
      <c r="P23" s="74">
        <f t="shared" si="9"/>
        <v>111.33033753612835</v>
      </c>
      <c r="Q23" s="74">
        <f t="shared" si="9"/>
        <v>445.3213501445134</v>
      </c>
      <c r="R23" s="74">
        <f t="shared" si="9"/>
        <v>432.3088503525896</v>
      </c>
      <c r="S23" s="74">
        <f>+S15+S20</f>
        <v>440.6225971000109</v>
      </c>
      <c r="T23" s="74">
        <f>+T15+T20</f>
        <v>466.01252848507613</v>
      </c>
      <c r="U23" s="74">
        <f>+U15+U20</f>
        <v>506.91319380463284</v>
      </c>
      <c r="V23" s="74">
        <f>+V15+V20</f>
        <v>553.948958922123</v>
      </c>
      <c r="X23" s="27"/>
      <c r="Y23" s="28"/>
    </row>
    <row r="24" spans="1:25" s="25" customFormat="1" ht="13.5" thickTop="1">
      <c r="A24" s="30"/>
      <c r="B24" s="25" t="s">
        <v>75</v>
      </c>
      <c r="C24" s="139" t="s">
        <v>110</v>
      </c>
      <c r="D24" s="76">
        <f>+D23/D22</f>
        <v>0.4695499521225663</v>
      </c>
      <c r="E24" s="76">
        <f>+E23/E22</f>
        <v>0.5050155655482531</v>
      </c>
      <c r="F24" s="201">
        <f>+F23/F22</f>
        <v>0.506806282722513</v>
      </c>
      <c r="G24" s="76">
        <f aca="true" t="shared" si="10" ref="G24:R24">+G23/G22</f>
        <v>0.4974791274393306</v>
      </c>
      <c r="H24" s="76">
        <f t="shared" si="10"/>
        <v>0.492019986707541</v>
      </c>
      <c r="I24" s="76">
        <f t="shared" si="10"/>
        <v>0.48987736060467585</v>
      </c>
      <c r="J24" s="76">
        <f t="shared" si="10"/>
        <v>0.48456153185136924</v>
      </c>
      <c r="K24" s="76">
        <f t="shared" si="10"/>
        <v>0.47936694479468683</v>
      </c>
      <c r="L24" s="76">
        <f t="shared" si="10"/>
        <v>0.4772733892145208</v>
      </c>
      <c r="M24" s="76">
        <f t="shared" si="10"/>
        <v>0.4751530902552532</v>
      </c>
      <c r="N24" s="76">
        <f t="shared" si="10"/>
        <v>0.4730104100795063</v>
      </c>
      <c r="O24" s="76">
        <f t="shared" si="10"/>
        <v>0.4708499054190106</v>
      </c>
      <c r="P24" s="76">
        <f t="shared" si="10"/>
        <v>0.4686762901756293</v>
      </c>
      <c r="Q24" s="76">
        <f t="shared" si="10"/>
        <v>0.4686762901756293</v>
      </c>
      <c r="R24" s="76">
        <f t="shared" si="10"/>
        <v>0.4588743214714906</v>
      </c>
      <c r="S24" s="76">
        <f>+S23/S22</f>
        <v>0.4511071602522464</v>
      </c>
      <c r="T24" s="76">
        <f>+T23/T22</f>
        <v>0.4453173405217568</v>
      </c>
      <c r="U24" s="76">
        <f>+U23/U22</f>
        <v>0.441283498471945</v>
      </c>
      <c r="V24" s="76">
        <f>+V23/V22</f>
        <v>0.4374499292013135</v>
      </c>
      <c r="X24" s="27"/>
      <c r="Y24" s="28"/>
    </row>
    <row r="25" spans="1:25" s="2" customFormat="1" ht="12.75">
      <c r="A25" s="29"/>
      <c r="B25" s="94"/>
      <c r="C25" s="136"/>
      <c r="D25" s="140"/>
      <c r="E25" s="140"/>
      <c r="F25" s="193"/>
      <c r="X25" s="9"/>
      <c r="Y25" s="11"/>
    </row>
    <row r="26" spans="1:25" s="25" customFormat="1" ht="12.75">
      <c r="A26" s="30"/>
      <c r="B26" s="24"/>
      <c r="C26" s="139"/>
      <c r="D26" s="36"/>
      <c r="E26" s="36"/>
      <c r="F26" s="199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X26" s="27"/>
      <c r="Y26" s="28"/>
    </row>
    <row r="27" spans="1:25" s="2" customFormat="1" ht="12.75">
      <c r="A27" s="29"/>
      <c r="B27" s="48" t="s">
        <v>44</v>
      </c>
      <c r="C27" s="140"/>
      <c r="D27" s="148"/>
      <c r="E27" s="148"/>
      <c r="F27" s="19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29"/>
      <c r="B28" s="24" t="s">
        <v>15</v>
      </c>
      <c r="C28" s="140"/>
      <c r="D28" s="148"/>
      <c r="E28" s="148"/>
      <c r="F28" s="19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29"/>
      <c r="B29" s="1" t="s">
        <v>78</v>
      </c>
      <c r="C29" s="140"/>
      <c r="D29" s="148">
        <f>266*0.05/4</f>
        <v>3.325</v>
      </c>
      <c r="E29" s="148">
        <v>2.07</v>
      </c>
      <c r="F29" s="194">
        <v>1.7825</v>
      </c>
      <c r="G29" s="1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29"/>
      <c r="B30" s="1" t="s">
        <v>79</v>
      </c>
      <c r="C30" s="140"/>
      <c r="D30" s="148"/>
      <c r="E30" s="148">
        <f>+Y69/4</f>
        <v>2.629</v>
      </c>
      <c r="F30" s="194">
        <f>+E30</f>
        <v>2.629</v>
      </c>
      <c r="G30" s="12">
        <f>+F30</f>
        <v>2.629</v>
      </c>
      <c r="H30" s="12">
        <f>+G30</f>
        <v>2.629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29"/>
      <c r="B31" s="1" t="s">
        <v>23</v>
      </c>
      <c r="C31" s="178"/>
      <c r="D31" s="148">
        <v>0</v>
      </c>
      <c r="E31" s="148">
        <v>0</v>
      </c>
      <c r="F31" s="19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29"/>
      <c r="B32" s="1" t="s">
        <v>32</v>
      </c>
      <c r="C32" s="140"/>
      <c r="D32" s="148">
        <f>+$Y72/4</f>
        <v>2.875</v>
      </c>
      <c r="E32" s="148">
        <f>+$Y72/4</f>
        <v>2.875</v>
      </c>
      <c r="F32" s="194">
        <f>+$Y72/4</f>
        <v>2.875</v>
      </c>
      <c r="G32" s="12">
        <f>+$Y72/4</f>
        <v>2.875</v>
      </c>
      <c r="H32" s="12">
        <f>+$Y72/4</f>
        <v>2.875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X32" s="9"/>
      <c r="Y32" s="11"/>
    </row>
    <row r="33" spans="1:25" s="2" customFormat="1" ht="12.75">
      <c r="A33" s="29"/>
      <c r="B33" s="245" t="s">
        <v>13</v>
      </c>
      <c r="C33" s="137" t="s">
        <v>126</v>
      </c>
      <c r="D33" s="148"/>
      <c r="E33" s="148"/>
      <c r="F33" s="194"/>
      <c r="G33" s="12"/>
      <c r="H33" s="12"/>
      <c r="I33" s="254">
        <f>906*0.09/4</f>
        <v>20.384999999999998</v>
      </c>
      <c r="J33" s="255">
        <f>+I33-(J73*0.09/4)</f>
        <v>20.384999999999998</v>
      </c>
      <c r="K33" s="255">
        <f aca="true" t="shared" si="11" ref="K33:P33">+J33-(K73*0.09/4)</f>
        <v>20.384999999999998</v>
      </c>
      <c r="L33" s="255">
        <f t="shared" si="11"/>
        <v>20.384999999999998</v>
      </c>
      <c r="M33" s="255">
        <f t="shared" si="11"/>
        <v>20.384999999999998</v>
      </c>
      <c r="N33" s="255">
        <f t="shared" si="11"/>
        <v>20.384999999999998</v>
      </c>
      <c r="O33" s="255">
        <f t="shared" si="11"/>
        <v>20.384999999999998</v>
      </c>
      <c r="P33" s="255">
        <f t="shared" si="11"/>
        <v>20.384999999999998</v>
      </c>
      <c r="Q33" s="255">
        <f>+P33*4-(Q73*0.09)</f>
        <v>81.53999999999999</v>
      </c>
      <c r="R33" s="255">
        <f>+Q33-(R73*0.09)</f>
        <v>81.53999999999999</v>
      </c>
      <c r="S33" s="255">
        <f>+R33-(S73*0.09)</f>
        <v>81.53999999999999</v>
      </c>
      <c r="T33" s="255">
        <f>+S33-(T73*0.09)</f>
        <v>72.53999999999999</v>
      </c>
      <c r="U33" s="255">
        <f>+T33-(U73*0.09)</f>
        <v>63.53999999999999</v>
      </c>
      <c r="V33" s="255">
        <f>+U33-(V73*0.09)</f>
        <v>54.53999999999999</v>
      </c>
      <c r="X33" s="9"/>
      <c r="Y33" s="11"/>
    </row>
    <row r="34" spans="1:25" s="2" customFormat="1" ht="12.75">
      <c r="A34" s="29"/>
      <c r="B34" s="7" t="s">
        <v>25</v>
      </c>
      <c r="C34" s="140"/>
      <c r="D34" s="148">
        <f aca="true" t="shared" si="12" ref="D34:H39">+$Y74/4</f>
        <v>2.1125000000000003</v>
      </c>
      <c r="E34" s="148">
        <f t="shared" si="12"/>
        <v>2.1125000000000003</v>
      </c>
      <c r="F34" s="194">
        <f t="shared" si="12"/>
        <v>2.1125000000000003</v>
      </c>
      <c r="G34" s="12">
        <f t="shared" si="12"/>
        <v>2.1125000000000003</v>
      </c>
      <c r="H34" s="12">
        <f t="shared" si="12"/>
        <v>2.1125000000000003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29"/>
      <c r="B35" s="1" t="s">
        <v>24</v>
      </c>
      <c r="C35" s="140"/>
      <c r="D35" s="148">
        <f t="shared" si="12"/>
        <v>2.140625</v>
      </c>
      <c r="E35" s="148">
        <f t="shared" si="12"/>
        <v>2.140625</v>
      </c>
      <c r="F35" s="194">
        <f t="shared" si="12"/>
        <v>2.140625</v>
      </c>
      <c r="G35" s="12">
        <f t="shared" si="12"/>
        <v>2.140625</v>
      </c>
      <c r="H35" s="12">
        <f t="shared" si="12"/>
        <v>2.140625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29"/>
      <c r="B36" s="1" t="s">
        <v>26</v>
      </c>
      <c r="C36" s="140"/>
      <c r="D36" s="148">
        <f t="shared" si="12"/>
        <v>3.640125</v>
      </c>
      <c r="E36" s="148">
        <f t="shared" si="12"/>
        <v>3.640125</v>
      </c>
      <c r="F36" s="194">
        <f t="shared" si="12"/>
        <v>3.640125</v>
      </c>
      <c r="G36" s="12">
        <f t="shared" si="12"/>
        <v>3.640125</v>
      </c>
      <c r="H36" s="12">
        <f t="shared" si="12"/>
        <v>3.640125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29"/>
      <c r="B37" s="1" t="s">
        <v>27</v>
      </c>
      <c r="C37" s="140"/>
      <c r="D37" s="148">
        <f t="shared" si="12"/>
        <v>2.5185</v>
      </c>
      <c r="E37" s="148">
        <f t="shared" si="12"/>
        <v>2.5185</v>
      </c>
      <c r="F37" s="194">
        <f t="shared" si="12"/>
        <v>2.5185</v>
      </c>
      <c r="G37" s="12">
        <f t="shared" si="12"/>
        <v>2.5185</v>
      </c>
      <c r="H37" s="12">
        <f t="shared" si="12"/>
        <v>2.5185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X37" s="9"/>
      <c r="Y37" s="11"/>
    </row>
    <row r="38" spans="1:25" s="2" customFormat="1" ht="12.75">
      <c r="A38" s="29"/>
      <c r="B38" s="1" t="s">
        <v>28</v>
      </c>
      <c r="C38" s="140"/>
      <c r="D38" s="148">
        <f t="shared" si="12"/>
        <v>4.2</v>
      </c>
      <c r="E38" s="148">
        <f t="shared" si="12"/>
        <v>4.2</v>
      </c>
      <c r="F38" s="194">
        <f t="shared" si="12"/>
        <v>4.2</v>
      </c>
      <c r="G38" s="12">
        <f t="shared" si="12"/>
        <v>4.2</v>
      </c>
      <c r="H38" s="12">
        <f t="shared" si="12"/>
        <v>4.2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X38" s="9"/>
      <c r="Y38" s="11"/>
    </row>
    <row r="39" spans="1:25" s="2" customFormat="1" ht="12.75">
      <c r="A39" s="29"/>
      <c r="B39" s="1" t="s">
        <v>29</v>
      </c>
      <c r="C39" s="140"/>
      <c r="D39" s="148">
        <f t="shared" si="12"/>
        <v>1.769625</v>
      </c>
      <c r="E39" s="148">
        <f t="shared" si="12"/>
        <v>1.769625</v>
      </c>
      <c r="F39" s="194">
        <f t="shared" si="12"/>
        <v>1.769625</v>
      </c>
      <c r="G39" s="12">
        <f t="shared" si="12"/>
        <v>1.769625</v>
      </c>
      <c r="H39" s="12">
        <f t="shared" si="12"/>
        <v>1.769625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X39" s="9"/>
      <c r="Y39" s="11"/>
    </row>
    <row r="40" spans="1:25" s="2" customFormat="1" ht="12.75">
      <c r="A40" s="29"/>
      <c r="B40" s="1"/>
      <c r="C40" s="140"/>
      <c r="D40" s="148"/>
      <c r="E40" s="148"/>
      <c r="F40" s="194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X40" s="9"/>
      <c r="Y40" s="11"/>
    </row>
    <row r="41" spans="1:25" s="2" customFormat="1" ht="12.75">
      <c r="A41" s="29"/>
      <c r="B41" s="1" t="s">
        <v>30</v>
      </c>
      <c r="C41" s="140"/>
      <c r="D41" s="148">
        <f aca="true" t="shared" si="13" ref="D41:H42">+$Y80/4</f>
        <v>5.8125</v>
      </c>
      <c r="E41" s="148">
        <f t="shared" si="13"/>
        <v>5.8125</v>
      </c>
      <c r="F41" s="194">
        <f t="shared" si="13"/>
        <v>5.8125</v>
      </c>
      <c r="G41" s="12">
        <f t="shared" si="13"/>
        <v>5.8125</v>
      </c>
      <c r="H41" s="12">
        <f t="shared" si="13"/>
        <v>5.8125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X41" s="9"/>
      <c r="Y41" s="11"/>
    </row>
    <row r="42" spans="1:25" s="2" customFormat="1" ht="12.75">
      <c r="A42" s="29"/>
      <c r="B42" s="1" t="s">
        <v>31</v>
      </c>
      <c r="C42" s="140"/>
      <c r="D42" s="148">
        <f t="shared" si="13"/>
        <v>0.265625</v>
      </c>
      <c r="E42" s="148">
        <f t="shared" si="13"/>
        <v>0.265625</v>
      </c>
      <c r="F42" s="194">
        <f t="shared" si="13"/>
        <v>0.265625</v>
      </c>
      <c r="G42" s="12">
        <f t="shared" si="13"/>
        <v>0.265625</v>
      </c>
      <c r="H42" s="12">
        <f t="shared" si="13"/>
        <v>0.265625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29"/>
      <c r="B43" s="18" t="s">
        <v>88</v>
      </c>
      <c r="C43" s="140"/>
      <c r="D43" s="148">
        <f>35.6-28.7</f>
        <v>6.900000000000002</v>
      </c>
      <c r="E43" s="148">
        <f>32.9-30</f>
        <v>2.8999999999999986</v>
      </c>
      <c r="F43" s="194">
        <v>-2.7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29"/>
      <c r="B44" s="18"/>
      <c r="C44" s="140"/>
      <c r="D44" s="148"/>
      <c r="E44" s="148"/>
      <c r="F44" s="19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X44" s="9"/>
      <c r="Y44" s="11"/>
    </row>
    <row r="45" spans="1:25" s="2" customFormat="1" ht="12.75">
      <c r="A45" s="29" t="s">
        <v>105</v>
      </c>
      <c r="B45" s="18" t="s">
        <v>101</v>
      </c>
      <c r="C45" s="140"/>
      <c r="D45" s="148"/>
      <c r="E45" s="148">
        <v>1.9</v>
      </c>
      <c r="F45" s="194">
        <f>7.4-E45</f>
        <v>5.5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29"/>
      <c r="B46" s="24"/>
      <c r="C46" s="140"/>
      <c r="D46" s="148"/>
      <c r="E46" s="148"/>
      <c r="F46" s="194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X46" s="9"/>
      <c r="Y46" s="11"/>
    </row>
    <row r="47" spans="1:25" s="2" customFormat="1" ht="12.75">
      <c r="A47" s="29"/>
      <c r="B47" s="24" t="s">
        <v>103</v>
      </c>
      <c r="C47" s="140"/>
      <c r="D47" s="148">
        <v>27.3</v>
      </c>
      <c r="E47" s="184">
        <v>29.8</v>
      </c>
      <c r="F47" s="194">
        <f>+(125-$E$47)/3</f>
        <v>31.733333333333334</v>
      </c>
      <c r="G47" s="12">
        <f aca="true" t="shared" si="14" ref="G47:P47">+F47</f>
        <v>31.733333333333334</v>
      </c>
      <c r="H47" s="12">
        <f t="shared" si="14"/>
        <v>31.733333333333334</v>
      </c>
      <c r="I47" s="12">
        <v>35</v>
      </c>
      <c r="J47" s="12">
        <f t="shared" si="14"/>
        <v>35</v>
      </c>
      <c r="K47" s="12">
        <f t="shared" si="14"/>
        <v>35</v>
      </c>
      <c r="L47" s="12">
        <f t="shared" si="14"/>
        <v>35</v>
      </c>
      <c r="M47" s="12">
        <f t="shared" si="14"/>
        <v>35</v>
      </c>
      <c r="N47" s="12">
        <f t="shared" si="14"/>
        <v>35</v>
      </c>
      <c r="O47" s="12">
        <f t="shared" si="14"/>
        <v>35</v>
      </c>
      <c r="P47" s="12">
        <f t="shared" si="14"/>
        <v>35</v>
      </c>
      <c r="Q47" s="12">
        <f>+P47*4</f>
        <v>140</v>
      </c>
      <c r="R47" s="12">
        <f>+Q47</f>
        <v>140</v>
      </c>
      <c r="S47" s="12">
        <f>+R47</f>
        <v>140</v>
      </c>
      <c r="T47" s="12">
        <f>+S47</f>
        <v>140</v>
      </c>
      <c r="U47" s="12">
        <f>+T47</f>
        <v>140</v>
      </c>
      <c r="V47" s="12">
        <f>+U47</f>
        <v>140</v>
      </c>
      <c r="X47" s="9"/>
      <c r="Y47" s="11"/>
    </row>
    <row r="48" spans="1:25" s="2" customFormat="1" ht="12.75">
      <c r="A48" s="29"/>
      <c r="C48" s="140"/>
      <c r="D48" s="148"/>
      <c r="E48" s="148"/>
      <c r="F48" s="19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X48" s="9"/>
      <c r="Y48" s="11"/>
    </row>
    <row r="49" spans="1:25" s="2" customFormat="1" ht="12.75">
      <c r="A49" s="29"/>
      <c r="B49" s="24" t="s">
        <v>66</v>
      </c>
      <c r="C49" s="140"/>
      <c r="D49" s="148">
        <v>14.7</v>
      </c>
      <c r="E49" s="148">
        <v>8.2</v>
      </c>
      <c r="F49" s="194">
        <f>16.9-E49</f>
        <v>8.7</v>
      </c>
      <c r="G49" s="12">
        <f aca="true" t="shared" si="15" ref="G49:P49">+F49</f>
        <v>8.7</v>
      </c>
      <c r="H49" s="12">
        <f t="shared" si="15"/>
        <v>8.7</v>
      </c>
      <c r="I49" s="12">
        <f t="shared" si="15"/>
        <v>8.7</v>
      </c>
      <c r="J49" s="12">
        <f t="shared" si="15"/>
        <v>8.7</v>
      </c>
      <c r="K49" s="12">
        <f t="shared" si="15"/>
        <v>8.7</v>
      </c>
      <c r="L49" s="12">
        <f t="shared" si="15"/>
        <v>8.7</v>
      </c>
      <c r="M49" s="12">
        <f t="shared" si="15"/>
        <v>8.7</v>
      </c>
      <c r="N49" s="12">
        <f t="shared" si="15"/>
        <v>8.7</v>
      </c>
      <c r="O49" s="12">
        <f t="shared" si="15"/>
        <v>8.7</v>
      </c>
      <c r="P49" s="12">
        <f t="shared" si="15"/>
        <v>8.7</v>
      </c>
      <c r="Q49" s="12">
        <f>+P49*4</f>
        <v>34.8</v>
      </c>
      <c r="R49" s="12">
        <f>+Q49</f>
        <v>34.8</v>
      </c>
      <c r="S49" s="12">
        <f>+R49</f>
        <v>34.8</v>
      </c>
      <c r="T49" s="12">
        <f>+S49</f>
        <v>34.8</v>
      </c>
      <c r="U49" s="12">
        <f>+T49</f>
        <v>34.8</v>
      </c>
      <c r="V49" s="12">
        <f>+U49</f>
        <v>34.8</v>
      </c>
      <c r="X49" s="9"/>
      <c r="Y49" s="11"/>
    </row>
    <row r="50" spans="1:25" s="2" customFormat="1" ht="12.75">
      <c r="A50" s="29" t="s">
        <v>105</v>
      </c>
      <c r="B50" s="24" t="s">
        <v>102</v>
      </c>
      <c r="C50" s="140"/>
      <c r="D50" s="148">
        <v>0</v>
      </c>
      <c r="E50" s="148">
        <v>13.036</v>
      </c>
      <c r="F50" s="194">
        <v>0</v>
      </c>
      <c r="G50" s="12">
        <v>0</v>
      </c>
      <c r="H50" s="12">
        <v>0</v>
      </c>
      <c r="I50" s="26">
        <v>13</v>
      </c>
      <c r="J50" s="12">
        <v>0</v>
      </c>
      <c r="K50" s="12">
        <v>0</v>
      </c>
      <c r="L50" s="12">
        <v>0</v>
      </c>
      <c r="M50" s="26">
        <v>13</v>
      </c>
      <c r="N50" s="12">
        <v>0</v>
      </c>
      <c r="O50" s="12">
        <v>0</v>
      </c>
      <c r="P50" s="12">
        <v>0</v>
      </c>
      <c r="Q50" s="26">
        <v>13</v>
      </c>
      <c r="R50" s="26">
        <v>13</v>
      </c>
      <c r="S50" s="12">
        <v>0</v>
      </c>
      <c r="T50" s="12">
        <v>0</v>
      </c>
      <c r="U50" s="12">
        <v>0</v>
      </c>
      <c r="V50" s="12">
        <v>0</v>
      </c>
      <c r="X50" s="9"/>
      <c r="Y50" s="11"/>
    </row>
    <row r="51" spans="1:25" s="2" customFormat="1" ht="12.75">
      <c r="A51" s="29" t="s">
        <v>105</v>
      </c>
      <c r="B51" s="24" t="s">
        <v>104</v>
      </c>
      <c r="C51" s="140"/>
      <c r="D51" s="148"/>
      <c r="E51" s="148">
        <f>42.736+(315.3-310.1)</f>
        <v>47.935999999999986</v>
      </c>
      <c r="F51" s="194">
        <f>30.4-E51-0.7</f>
        <v>-18.235999999999986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X51" s="9"/>
      <c r="Y51" s="11"/>
    </row>
    <row r="52" spans="1:25" s="2" customFormat="1" ht="12.75">
      <c r="A52" s="29"/>
      <c r="C52" s="140"/>
      <c r="D52" s="148"/>
      <c r="E52" s="148"/>
      <c r="F52" s="19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X52" s="9"/>
      <c r="Y52" s="11"/>
    </row>
    <row r="53" spans="1:25" s="2" customFormat="1" ht="12.75">
      <c r="A53" s="29"/>
      <c r="B53" s="24" t="s">
        <v>89</v>
      </c>
      <c r="C53" s="140"/>
      <c r="D53" s="148">
        <v>2.9</v>
      </c>
      <c r="E53" s="148">
        <v>0</v>
      </c>
      <c r="F53" s="19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X53" s="9"/>
      <c r="Y53" s="11"/>
    </row>
    <row r="54" spans="1:25" s="2" customFormat="1" ht="12.75">
      <c r="A54" s="29"/>
      <c r="B54" s="2" t="s">
        <v>90</v>
      </c>
      <c r="C54" s="140"/>
      <c r="D54" s="148">
        <v>0.5</v>
      </c>
      <c r="E54" s="148"/>
      <c r="F54" s="194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X54" s="9"/>
      <c r="Y54" s="11"/>
    </row>
    <row r="55" spans="1:25" s="2" customFormat="1" ht="12.75">
      <c r="A55" s="29"/>
      <c r="B55" s="24" t="s">
        <v>17</v>
      </c>
      <c r="C55" s="141" t="s">
        <v>94</v>
      </c>
      <c r="D55" s="148">
        <v>10</v>
      </c>
      <c r="E55" s="148">
        <v>0</v>
      </c>
      <c r="F55" s="194">
        <v>0</v>
      </c>
      <c r="G55" s="255">
        <v>30</v>
      </c>
      <c r="H55" s="255">
        <f>132.1*0.069/4</f>
        <v>2.278725</v>
      </c>
      <c r="I55" s="255">
        <f aca="true" t="shared" si="16" ref="I55:V56">+H55</f>
        <v>2.278725</v>
      </c>
      <c r="J55" s="255">
        <f t="shared" si="16"/>
        <v>2.278725</v>
      </c>
      <c r="K55" s="255">
        <f t="shared" si="16"/>
        <v>2.278725</v>
      </c>
      <c r="L55" s="255">
        <f t="shared" si="16"/>
        <v>2.278725</v>
      </c>
      <c r="M55" s="255">
        <f t="shared" si="16"/>
        <v>2.278725</v>
      </c>
      <c r="N55" s="255">
        <f t="shared" si="16"/>
        <v>2.278725</v>
      </c>
      <c r="O55" s="255">
        <f t="shared" si="16"/>
        <v>2.278725</v>
      </c>
      <c r="P55" s="255">
        <f t="shared" si="16"/>
        <v>2.278725</v>
      </c>
      <c r="Q55" s="255">
        <f>+P55*4</f>
        <v>9.1149</v>
      </c>
      <c r="R55" s="255">
        <f>+Q55</f>
        <v>9.1149</v>
      </c>
      <c r="S55" s="255">
        <f>+R55</f>
        <v>9.1149</v>
      </c>
      <c r="T55" s="255">
        <f>+S55</f>
        <v>9.1149</v>
      </c>
      <c r="U55" s="255">
        <f>+T55</f>
        <v>9.1149</v>
      </c>
      <c r="V55" s="255">
        <f>+U55</f>
        <v>9.1149</v>
      </c>
      <c r="X55" s="9"/>
      <c r="Y55" s="11"/>
    </row>
    <row r="56" spans="1:25" s="2" customFormat="1" ht="12.75">
      <c r="A56" s="29"/>
      <c r="C56" s="141" t="s">
        <v>125</v>
      </c>
      <c r="D56" s="148"/>
      <c r="E56" s="148"/>
      <c r="F56" s="202"/>
      <c r="G56" s="256"/>
      <c r="H56" s="256"/>
      <c r="I56" s="256">
        <f>78.3*0.15/4</f>
        <v>2.93625</v>
      </c>
      <c r="J56" s="256">
        <f>+I56</f>
        <v>2.93625</v>
      </c>
      <c r="K56" s="256">
        <f t="shared" si="16"/>
        <v>2.93625</v>
      </c>
      <c r="L56" s="256">
        <f t="shared" si="16"/>
        <v>2.93625</v>
      </c>
      <c r="M56" s="256">
        <f t="shared" si="16"/>
        <v>2.93625</v>
      </c>
      <c r="N56" s="256">
        <f t="shared" si="16"/>
        <v>2.93625</v>
      </c>
      <c r="O56" s="256">
        <f t="shared" si="16"/>
        <v>2.93625</v>
      </c>
      <c r="P56" s="256">
        <f t="shared" si="16"/>
        <v>2.93625</v>
      </c>
      <c r="Q56" s="256">
        <f>+P56*4</f>
        <v>11.745</v>
      </c>
      <c r="R56" s="256">
        <f t="shared" si="16"/>
        <v>11.745</v>
      </c>
      <c r="S56" s="256">
        <f t="shared" si="16"/>
        <v>11.745</v>
      </c>
      <c r="T56" s="256">
        <f t="shared" si="16"/>
        <v>11.745</v>
      </c>
      <c r="U56" s="256">
        <f t="shared" si="16"/>
        <v>11.745</v>
      </c>
      <c r="V56" s="256">
        <f t="shared" si="16"/>
        <v>11.745</v>
      </c>
      <c r="X56" s="9"/>
      <c r="Y56" s="11"/>
    </row>
    <row r="57" spans="1:25" s="25" customFormat="1" ht="12.75">
      <c r="A57" s="30" t="s">
        <v>37</v>
      </c>
      <c r="B57" s="24" t="s">
        <v>19</v>
      </c>
      <c r="C57" s="142"/>
      <c r="D57" s="36">
        <f>SUM(D28:D56)</f>
        <v>90.9595</v>
      </c>
      <c r="E57" s="36">
        <f>SUM(E28:E56)</f>
        <v>133.8055</v>
      </c>
      <c r="F57" s="199">
        <f aca="true" t="shared" si="17" ref="F57:R57">SUM(F28:F56)</f>
        <v>54.743333333333354</v>
      </c>
      <c r="G57" s="26">
        <f t="shared" si="17"/>
        <v>99.89183333333334</v>
      </c>
      <c r="H57" s="26">
        <f t="shared" si="17"/>
        <v>71.88305833333332</v>
      </c>
      <c r="I57" s="26">
        <f t="shared" si="17"/>
        <v>83.21997499999999</v>
      </c>
      <c r="J57" s="26">
        <f t="shared" si="17"/>
        <v>69.29997499999999</v>
      </c>
      <c r="K57" s="26">
        <f t="shared" si="17"/>
        <v>69.29997499999999</v>
      </c>
      <c r="L57" s="26">
        <f t="shared" si="17"/>
        <v>69.29997499999999</v>
      </c>
      <c r="M57" s="26">
        <f t="shared" si="17"/>
        <v>82.29997499999999</v>
      </c>
      <c r="N57" s="26">
        <f t="shared" si="17"/>
        <v>69.29997499999999</v>
      </c>
      <c r="O57" s="26">
        <f t="shared" si="17"/>
        <v>69.29997499999999</v>
      </c>
      <c r="P57" s="26">
        <f t="shared" si="17"/>
        <v>69.29997499999999</v>
      </c>
      <c r="Q57" s="26">
        <f t="shared" si="17"/>
        <v>290.19989999999996</v>
      </c>
      <c r="R57" s="26">
        <f t="shared" si="17"/>
        <v>290.19989999999996</v>
      </c>
      <c r="S57" s="26">
        <f>SUM(S28:S56)</f>
        <v>277.19989999999996</v>
      </c>
      <c r="T57" s="26">
        <f>SUM(T28:T56)</f>
        <v>268.19989999999996</v>
      </c>
      <c r="U57" s="26">
        <f>SUM(U28:U56)</f>
        <v>259.19989999999996</v>
      </c>
      <c r="V57" s="26">
        <f>SUM(V28:V56)</f>
        <v>250.19989999999999</v>
      </c>
      <c r="X57" s="27"/>
      <c r="Y57" s="28"/>
    </row>
    <row r="58" spans="1:25" s="25" customFormat="1" ht="12.75">
      <c r="A58" s="30"/>
      <c r="B58" s="24"/>
      <c r="C58" s="142"/>
      <c r="D58" s="36"/>
      <c r="E58" s="36"/>
      <c r="F58" s="199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X58" s="27"/>
      <c r="Y58" s="28"/>
    </row>
    <row r="59" spans="1:25" s="25" customFormat="1" ht="12.75">
      <c r="A59" s="30"/>
      <c r="B59" s="3" t="s">
        <v>33</v>
      </c>
      <c r="C59" s="136"/>
      <c r="D59" s="148">
        <v>52</v>
      </c>
      <c r="E59" s="36"/>
      <c r="F59" s="199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X59" s="27"/>
      <c r="Y59" s="28"/>
    </row>
    <row r="60" spans="1:25" s="2" customFormat="1" ht="12.75">
      <c r="A60" s="29"/>
      <c r="B60" s="3" t="s">
        <v>51</v>
      </c>
      <c r="C60" s="136"/>
      <c r="D60" s="148">
        <v>72</v>
      </c>
      <c r="E60" s="148"/>
      <c r="F60" s="20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X60" s="9"/>
      <c r="Y60" s="11"/>
    </row>
    <row r="61" spans="1:25" s="25" customFormat="1" ht="13.5" thickBot="1">
      <c r="A61" s="30" t="s">
        <v>38</v>
      </c>
      <c r="B61" s="24" t="s">
        <v>40</v>
      </c>
      <c r="C61" s="143" t="s">
        <v>41</v>
      </c>
      <c r="D61" s="31">
        <f>+D23-D57+D60+D59</f>
        <v>180.15050000000002</v>
      </c>
      <c r="E61" s="31">
        <f aca="true" t="shared" si="18" ref="E61:V61">+E23-E57</f>
        <v>12.194500000000005</v>
      </c>
      <c r="F61" s="203">
        <f t="shared" si="18"/>
        <v>90.45666666666664</v>
      </c>
      <c r="G61" s="31">
        <f t="shared" si="18"/>
        <v>39.332202666666674</v>
      </c>
      <c r="H61" s="31">
        <f t="shared" si="18"/>
        <v>62.75551250866668</v>
      </c>
      <c r="I61" s="31">
        <f t="shared" si="18"/>
        <v>47.98909754757703</v>
      </c>
      <c r="J61" s="31">
        <f t="shared" si="18"/>
        <v>57.86471110371522</v>
      </c>
      <c r="K61" s="31">
        <f t="shared" si="18"/>
        <v>54.09183326765407</v>
      </c>
      <c r="L61" s="31">
        <f t="shared" si="18"/>
        <v>51.32939503403105</v>
      </c>
      <c r="M61" s="31">
        <f t="shared" si="18"/>
        <v>35.7485071126159</v>
      </c>
      <c r="N61" s="31">
        <f t="shared" si="18"/>
        <v>46.34253135784488</v>
      </c>
      <c r="O61" s="31">
        <f t="shared" si="18"/>
        <v>44.10515207909289</v>
      </c>
      <c r="P61" s="31">
        <f t="shared" si="18"/>
        <v>42.030362536128365</v>
      </c>
      <c r="Q61" s="133">
        <f t="shared" si="18"/>
        <v>155.12145014451346</v>
      </c>
      <c r="R61" s="133">
        <f t="shared" si="18"/>
        <v>142.10895035258966</v>
      </c>
      <c r="S61" s="133">
        <f t="shared" si="18"/>
        <v>163.42269710001096</v>
      </c>
      <c r="T61" s="133">
        <f t="shared" si="18"/>
        <v>197.81262848507617</v>
      </c>
      <c r="U61" s="133">
        <f t="shared" si="18"/>
        <v>247.71329380463288</v>
      </c>
      <c r="V61" s="133">
        <f t="shared" si="18"/>
        <v>303.749058922123</v>
      </c>
      <c r="X61" s="27"/>
      <c r="Y61" s="28"/>
    </row>
    <row r="62" spans="1:25" s="25" customFormat="1" ht="13.5" thickTop="1">
      <c r="A62" s="30"/>
      <c r="B62" s="24"/>
      <c r="C62" s="143"/>
      <c r="D62" s="36"/>
      <c r="E62" s="36"/>
      <c r="F62" s="199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X62" s="27"/>
      <c r="Y62" s="28"/>
    </row>
    <row r="63" spans="1:25" s="25" customFormat="1" ht="18">
      <c r="A63" s="30"/>
      <c r="B63" s="24"/>
      <c r="C63" s="143"/>
      <c r="D63" s="36"/>
      <c r="E63" s="36"/>
      <c r="F63" s="199"/>
      <c r="G63" s="226" t="s">
        <v>115</v>
      </c>
      <c r="H63" s="36"/>
      <c r="I63" s="36"/>
      <c r="J63" s="180" t="s">
        <v>116</v>
      </c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X63" s="27"/>
      <c r="Y63" s="28"/>
    </row>
    <row r="64" spans="1:25" s="25" customFormat="1" ht="18">
      <c r="A64" s="30"/>
      <c r="B64" s="24"/>
      <c r="C64" s="143"/>
      <c r="D64" s="36"/>
      <c r="E64" s="36"/>
      <c r="F64" s="199"/>
      <c r="G64" s="180"/>
      <c r="H64" s="36"/>
      <c r="I64" s="36"/>
      <c r="J64" s="180" t="s">
        <v>128</v>
      </c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X64" s="27"/>
      <c r="Y64" s="28"/>
    </row>
    <row r="65" spans="1:25" s="25" customFormat="1" ht="18">
      <c r="A65" s="30"/>
      <c r="B65" s="24"/>
      <c r="C65" s="143"/>
      <c r="D65" s="36"/>
      <c r="E65" s="36"/>
      <c r="F65" s="199"/>
      <c r="G65" s="36"/>
      <c r="H65" s="36"/>
      <c r="I65" s="36"/>
      <c r="J65" s="180" t="s">
        <v>124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X65" s="27"/>
      <c r="Y65" s="28"/>
    </row>
    <row r="66" spans="1:25" s="2" customFormat="1" ht="18">
      <c r="A66" s="29"/>
      <c r="B66" s="3"/>
      <c r="C66" s="136"/>
      <c r="D66" s="148"/>
      <c r="E66" s="148"/>
      <c r="F66" s="194"/>
      <c r="G66" s="12"/>
      <c r="H66" s="12"/>
      <c r="I66" s="12"/>
      <c r="J66" s="180" t="s">
        <v>130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X66" s="37" t="s">
        <v>52</v>
      </c>
      <c r="Y66" s="38" t="s">
        <v>46</v>
      </c>
    </row>
    <row r="67" spans="2:25" ht="12.75">
      <c r="B67" s="49" t="s">
        <v>20</v>
      </c>
      <c r="C67" s="4"/>
      <c r="D67" s="149"/>
      <c r="E67" s="185"/>
      <c r="F67" s="20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X67" s="39" t="s">
        <v>20</v>
      </c>
      <c r="Y67" s="40" t="s">
        <v>45</v>
      </c>
    </row>
    <row r="68" spans="1:25" ht="12.75">
      <c r="A68" s="16" t="s">
        <v>39</v>
      </c>
      <c r="B68" s="1" t="s">
        <v>76</v>
      </c>
      <c r="C68" s="144">
        <v>250</v>
      </c>
      <c r="D68" s="149">
        <v>45</v>
      </c>
      <c r="E68" s="185">
        <v>25</v>
      </c>
      <c r="F68" s="204">
        <v>25</v>
      </c>
      <c r="G68" s="14">
        <v>25</v>
      </c>
      <c r="H68" s="14">
        <v>25</v>
      </c>
      <c r="I68" s="14">
        <f>250-(+D68+E68+F68+G68+H68)</f>
        <v>105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X68" s="10">
        <f>+C68-D68-E68</f>
        <v>180</v>
      </c>
      <c r="Y68" s="5">
        <f>+X68*0.044</f>
        <v>7.92</v>
      </c>
    </row>
    <row r="69" spans="1:25" ht="12.75">
      <c r="A69" s="16" t="s">
        <v>39</v>
      </c>
      <c r="B69" s="1" t="s">
        <v>77</v>
      </c>
      <c r="C69" s="144">
        <v>16</v>
      </c>
      <c r="D69" s="149">
        <v>16</v>
      </c>
      <c r="E69" s="186">
        <v>-239</v>
      </c>
      <c r="F69" s="204"/>
      <c r="G69" s="14"/>
      <c r="H69" s="34">
        <v>239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v>239</v>
      </c>
      <c r="Y69" s="5">
        <f>+X69*0.044</f>
        <v>10.516</v>
      </c>
    </row>
    <row r="70" spans="1:24" ht="12.75">
      <c r="A70" s="16" t="s">
        <v>39</v>
      </c>
      <c r="B70" s="1" t="s">
        <v>23</v>
      </c>
      <c r="C70" s="144">
        <v>35</v>
      </c>
      <c r="D70" s="149">
        <v>35</v>
      </c>
      <c r="E70" s="185"/>
      <c r="F70" s="20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X70" s="10">
        <f>+C70-D70</f>
        <v>0</v>
      </c>
    </row>
    <row r="71" spans="1:22" ht="12.75">
      <c r="A71" s="16"/>
      <c r="B71" s="1" t="s">
        <v>100</v>
      </c>
      <c r="C71" s="144"/>
      <c r="D71" s="149"/>
      <c r="E71" s="185">
        <v>0.3</v>
      </c>
      <c r="F71" s="20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5" ht="12.75">
      <c r="A72" s="16" t="s">
        <v>39</v>
      </c>
      <c r="B72" s="93" t="s">
        <v>32</v>
      </c>
      <c r="C72" s="145">
        <v>184</v>
      </c>
      <c r="D72" s="149"/>
      <c r="E72" s="185"/>
      <c r="F72" s="204"/>
      <c r="G72" s="14"/>
      <c r="H72" s="14">
        <v>184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X72" s="10">
        <f aca="true" t="shared" si="19" ref="X72:X81">SUM(D72:W72)</f>
        <v>184</v>
      </c>
      <c r="Y72" s="5">
        <f>+X72*0.0625</f>
        <v>11.5</v>
      </c>
    </row>
    <row r="73" spans="1:22" ht="12.75">
      <c r="A73" s="16" t="s">
        <v>39</v>
      </c>
      <c r="B73" s="18" t="s">
        <v>13</v>
      </c>
      <c r="C73" s="144"/>
      <c r="D73" s="149"/>
      <c r="E73" s="185"/>
      <c r="F73" s="204"/>
      <c r="G73" s="14"/>
      <c r="H73" s="34">
        <v>-906</v>
      </c>
      <c r="I73" s="257">
        <v>0</v>
      </c>
      <c r="J73" s="257">
        <f>+I73</f>
        <v>0</v>
      </c>
      <c r="K73" s="257">
        <f aca="true" t="shared" si="20" ref="K73:V73">+J73</f>
        <v>0</v>
      </c>
      <c r="L73" s="257">
        <f t="shared" si="20"/>
        <v>0</v>
      </c>
      <c r="M73" s="257">
        <f t="shared" si="20"/>
        <v>0</v>
      </c>
      <c r="N73" s="257">
        <f t="shared" si="20"/>
        <v>0</v>
      </c>
      <c r="O73" s="257">
        <f t="shared" si="20"/>
        <v>0</v>
      </c>
      <c r="P73" s="257">
        <f t="shared" si="20"/>
        <v>0</v>
      </c>
      <c r="Q73" s="257">
        <f>+P73*4</f>
        <v>0</v>
      </c>
      <c r="R73" s="257">
        <f t="shared" si="20"/>
        <v>0</v>
      </c>
      <c r="S73" s="257">
        <f t="shared" si="20"/>
        <v>0</v>
      </c>
      <c r="T73" s="257">
        <v>100</v>
      </c>
      <c r="U73" s="257">
        <f t="shared" si="20"/>
        <v>100</v>
      </c>
      <c r="V73" s="257">
        <f t="shared" si="20"/>
        <v>100</v>
      </c>
    </row>
    <row r="74" spans="1:25" ht="12.75">
      <c r="A74" s="16" t="s">
        <v>39</v>
      </c>
      <c r="B74" s="7" t="s">
        <v>25</v>
      </c>
      <c r="C74" s="145">
        <v>130</v>
      </c>
      <c r="D74" s="149"/>
      <c r="E74" s="185"/>
      <c r="F74" s="204"/>
      <c r="G74" s="14"/>
      <c r="H74" s="145">
        <v>130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X74" s="10">
        <f t="shared" si="19"/>
        <v>130</v>
      </c>
      <c r="Y74" s="5">
        <f>+X74*0.065</f>
        <v>8.450000000000001</v>
      </c>
    </row>
    <row r="75" spans="1:25" ht="12.75">
      <c r="A75" s="16" t="s">
        <v>39</v>
      </c>
      <c r="B75" s="1" t="s">
        <v>24</v>
      </c>
      <c r="C75" s="145">
        <v>125</v>
      </c>
      <c r="D75" s="149"/>
      <c r="E75" s="185"/>
      <c r="F75" s="204"/>
      <c r="G75" s="14"/>
      <c r="H75" s="145">
        <v>125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X75" s="10">
        <f t="shared" si="19"/>
        <v>125</v>
      </c>
      <c r="Y75" s="5">
        <f>+X75*0.0685</f>
        <v>8.5625</v>
      </c>
    </row>
    <row r="76" spans="1:25" ht="12.75">
      <c r="A76" s="16" t="s">
        <v>39</v>
      </c>
      <c r="B76" s="1" t="s">
        <v>26</v>
      </c>
      <c r="C76" s="145">
        <v>255</v>
      </c>
      <c r="D76" s="149"/>
      <c r="E76" s="185"/>
      <c r="F76" s="204"/>
      <c r="G76" s="14"/>
      <c r="H76" s="145">
        <v>255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X76" s="10">
        <f t="shared" si="19"/>
        <v>255</v>
      </c>
      <c r="Y76" s="5">
        <f>+X76*0.0571</f>
        <v>14.5605</v>
      </c>
    </row>
    <row r="77" spans="1:25" ht="12.75">
      <c r="A77" s="16" t="s">
        <v>39</v>
      </c>
      <c r="B77" s="1" t="s">
        <v>27</v>
      </c>
      <c r="C77" s="145">
        <v>138</v>
      </c>
      <c r="D77" s="149"/>
      <c r="E77" s="185"/>
      <c r="F77" s="204"/>
      <c r="G77" s="14"/>
      <c r="H77" s="145">
        <v>138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X77" s="10">
        <f t="shared" si="19"/>
        <v>138</v>
      </c>
      <c r="Y77" s="5">
        <f>+X77*0.073</f>
        <v>10.074</v>
      </c>
    </row>
    <row r="78" spans="1:25" ht="12.75">
      <c r="A78" s="16" t="s">
        <v>39</v>
      </c>
      <c r="B78" s="1" t="s">
        <v>28</v>
      </c>
      <c r="C78" s="145">
        <v>320</v>
      </c>
      <c r="D78" s="149"/>
      <c r="E78" s="185"/>
      <c r="F78" s="204"/>
      <c r="G78" s="14"/>
      <c r="H78" s="145">
        <v>320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X78" s="10">
        <f t="shared" si="19"/>
        <v>320</v>
      </c>
      <c r="Y78" s="5">
        <f>+X78*0.0525</f>
        <v>16.8</v>
      </c>
    </row>
    <row r="79" spans="1:25" ht="12.75">
      <c r="A79" s="16" t="s">
        <v>39</v>
      </c>
      <c r="B79" s="1" t="s">
        <v>29</v>
      </c>
      <c r="C79" s="145">
        <v>121</v>
      </c>
      <c r="D79" s="149"/>
      <c r="E79" s="185"/>
      <c r="F79" s="204"/>
      <c r="G79" s="14"/>
      <c r="H79" s="145">
        <v>121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X79" s="10">
        <f t="shared" si="19"/>
        <v>121</v>
      </c>
      <c r="Y79" s="5">
        <f>+X79*0.0585</f>
        <v>7.0785</v>
      </c>
    </row>
    <row r="80" spans="1:25" ht="12.75">
      <c r="A80" s="16" t="s">
        <v>39</v>
      </c>
      <c r="B80" s="1" t="s">
        <v>30</v>
      </c>
      <c r="C80" s="145">
        <v>300</v>
      </c>
      <c r="D80" s="149"/>
      <c r="E80" s="185"/>
      <c r="F80" s="204"/>
      <c r="G80" s="14"/>
      <c r="H80" s="145">
        <v>300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X80" s="10">
        <f t="shared" si="19"/>
        <v>300</v>
      </c>
      <c r="Y80" s="5">
        <f>+X80*0.0775</f>
        <v>23.25</v>
      </c>
    </row>
    <row r="81" spans="1:25" ht="12.75">
      <c r="A81" s="16" t="s">
        <v>39</v>
      </c>
      <c r="B81" s="1" t="s">
        <v>31</v>
      </c>
      <c r="C81" s="145">
        <v>17</v>
      </c>
      <c r="D81" s="149"/>
      <c r="E81" s="185"/>
      <c r="F81" s="204"/>
      <c r="G81" s="14"/>
      <c r="H81" s="145">
        <v>17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X81" s="10">
        <f t="shared" si="19"/>
        <v>17</v>
      </c>
      <c r="Y81" s="5">
        <f>+X81*0.0625</f>
        <v>1.0625</v>
      </c>
    </row>
    <row r="82" spans="1:22" ht="12.75">
      <c r="A82" s="16"/>
      <c r="B82" s="243" t="s">
        <v>123</v>
      </c>
      <c r="C82" s="145"/>
      <c r="D82" s="149"/>
      <c r="E82" s="185"/>
      <c r="F82" s="204"/>
      <c r="G82" s="14"/>
      <c r="H82" s="250">
        <v>-684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2:22" ht="12.75">
      <c r="B83" s="18" t="s">
        <v>65</v>
      </c>
      <c r="C83" s="33">
        <f>SUM(C68:C81)</f>
        <v>1891</v>
      </c>
      <c r="D83" s="149"/>
      <c r="E83" s="185"/>
      <c r="F83" s="20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5" s="15" customFormat="1" ht="13.5" thickBot="1">
      <c r="A84" s="16" t="s">
        <v>42</v>
      </c>
      <c r="B84" s="15" t="s">
        <v>50</v>
      </c>
      <c r="C84" s="146" t="s">
        <v>48</v>
      </c>
      <c r="D84" s="109">
        <f aca="true" t="shared" si="21" ref="D84:R84">-SUM(D66:D83)+D61</f>
        <v>84.15050000000002</v>
      </c>
      <c r="E84" s="187">
        <f t="shared" si="21"/>
        <v>225.8945</v>
      </c>
      <c r="F84" s="205">
        <f t="shared" si="21"/>
        <v>65.45666666666664</v>
      </c>
      <c r="G84" s="109">
        <f t="shared" si="21"/>
        <v>14.332202666666674</v>
      </c>
      <c r="H84" s="109">
        <f t="shared" si="21"/>
        <v>-201.2444874913333</v>
      </c>
      <c r="I84" s="109">
        <f t="shared" si="21"/>
        <v>-57.01090245242297</v>
      </c>
      <c r="J84" s="109">
        <f t="shared" si="21"/>
        <v>57.86471110371522</v>
      </c>
      <c r="K84" s="109">
        <f t="shared" si="21"/>
        <v>54.09183326765407</v>
      </c>
      <c r="L84" s="109">
        <f t="shared" si="21"/>
        <v>51.32939503403105</v>
      </c>
      <c r="M84" s="109">
        <f t="shared" si="21"/>
        <v>35.7485071126159</v>
      </c>
      <c r="N84" s="109">
        <f t="shared" si="21"/>
        <v>46.34253135784488</v>
      </c>
      <c r="O84" s="109">
        <f t="shared" si="21"/>
        <v>44.10515207909289</v>
      </c>
      <c r="P84" s="109">
        <f t="shared" si="21"/>
        <v>42.030362536128365</v>
      </c>
      <c r="Q84" s="109">
        <f t="shared" si="21"/>
        <v>155.12145014451346</v>
      </c>
      <c r="R84" s="109">
        <f t="shared" si="21"/>
        <v>142.10895035258966</v>
      </c>
      <c r="S84" s="109">
        <f>-SUM(S66:S83)+S61</f>
        <v>163.42269710001096</v>
      </c>
      <c r="T84" s="109">
        <f>-SUM(T66:T83)+T61</f>
        <v>97.81262848507617</v>
      </c>
      <c r="U84" s="109">
        <f>-SUM(U66:U83)+U61</f>
        <v>147.71329380463288</v>
      </c>
      <c r="V84" s="109">
        <f>-SUM(V66:V83)+V61</f>
        <v>203.74905892212303</v>
      </c>
      <c r="W84" s="33"/>
      <c r="X84" s="52">
        <f>SUM(X66:X83)</f>
        <v>2009</v>
      </c>
      <c r="Y84" s="52">
        <f>SUM(Y66:Y83)</f>
        <v>119.774</v>
      </c>
    </row>
    <row r="85" spans="3:23" ht="13.5" thickTop="1">
      <c r="C85" s="4"/>
      <c r="D85" s="149"/>
      <c r="E85" s="185"/>
      <c r="F85" s="20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4"/>
    </row>
    <row r="86" spans="1:25" s="242" customFormat="1" ht="16.5" thickBot="1">
      <c r="A86" s="246" t="s">
        <v>49</v>
      </c>
      <c r="B86" s="247" t="s">
        <v>21</v>
      </c>
      <c r="C86" s="248"/>
      <c r="D86" s="249">
        <f>+D84</f>
        <v>84.15050000000002</v>
      </c>
      <c r="E86" s="249">
        <f>+D86+E84</f>
        <v>310.045</v>
      </c>
      <c r="F86" s="249">
        <f aca="true" t="shared" si="22" ref="F86:R86">+E86+F84</f>
        <v>375.50166666666667</v>
      </c>
      <c r="G86" s="249">
        <f t="shared" si="22"/>
        <v>389.8338693333333</v>
      </c>
      <c r="H86" s="249">
        <f t="shared" si="22"/>
        <v>188.58938184200002</v>
      </c>
      <c r="I86" s="249">
        <f t="shared" si="22"/>
        <v>131.57847938957707</v>
      </c>
      <c r="J86" s="249">
        <f t="shared" si="22"/>
        <v>189.4431904932923</v>
      </c>
      <c r="K86" s="249">
        <f t="shared" si="22"/>
        <v>243.53502376094636</v>
      </c>
      <c r="L86" s="249">
        <f t="shared" si="22"/>
        <v>294.8644187949774</v>
      </c>
      <c r="M86" s="249">
        <f t="shared" si="22"/>
        <v>330.6129259075933</v>
      </c>
      <c r="N86" s="249">
        <f t="shared" si="22"/>
        <v>376.9554572654382</v>
      </c>
      <c r="O86" s="249">
        <f t="shared" si="22"/>
        <v>421.0606093445311</v>
      </c>
      <c r="P86" s="249">
        <f t="shared" si="22"/>
        <v>463.0909718806595</v>
      </c>
      <c r="Q86" s="249">
        <f t="shared" si="22"/>
        <v>618.2124220251729</v>
      </c>
      <c r="R86" s="249">
        <f t="shared" si="22"/>
        <v>760.3213723777626</v>
      </c>
      <c r="S86" s="249">
        <f>+R86+S84</f>
        <v>923.7440694777736</v>
      </c>
      <c r="T86" s="249">
        <f>+S86+T84</f>
        <v>1021.5566979628497</v>
      </c>
      <c r="U86" s="249">
        <f>+T86+U84</f>
        <v>1169.2699917674827</v>
      </c>
      <c r="V86" s="249">
        <f>+U86+V84</f>
        <v>1373.0190506896056</v>
      </c>
      <c r="W86" s="239"/>
      <c r="X86" s="240"/>
      <c r="Y86" s="241"/>
    </row>
    <row r="87" spans="1:25" s="167" customFormat="1" ht="15.75">
      <c r="A87" s="30"/>
      <c r="B87" s="244"/>
      <c r="C87" s="208"/>
      <c r="D87" s="207"/>
      <c r="E87" s="207"/>
      <c r="F87" s="207"/>
      <c r="G87" s="209"/>
      <c r="H87" s="209"/>
      <c r="I87" s="209"/>
      <c r="J87" s="209"/>
      <c r="K87" s="209"/>
      <c r="L87" s="207"/>
      <c r="M87" s="209"/>
      <c r="N87" s="207"/>
      <c r="O87" s="209"/>
      <c r="P87" s="209"/>
      <c r="Q87" s="209"/>
      <c r="R87" s="207"/>
      <c r="S87" s="207"/>
      <c r="T87" s="207"/>
      <c r="U87" s="207"/>
      <c r="V87" s="207"/>
      <c r="W87" s="208"/>
      <c r="X87" s="210"/>
      <c r="Y87" s="211"/>
    </row>
    <row r="88" spans="1:25" s="225" customFormat="1" ht="15.75">
      <c r="A88" s="228"/>
      <c r="B88" s="233" t="s">
        <v>122</v>
      </c>
      <c r="C88" s="234"/>
      <c r="D88" s="234">
        <f>-SUM(D67:D81)</f>
        <v>-96</v>
      </c>
      <c r="E88" s="234">
        <f aca="true" t="shared" si="23" ref="E88:V88">-SUM(E67:E81)</f>
        <v>213.7</v>
      </c>
      <c r="F88" s="234">
        <f t="shared" si="23"/>
        <v>-25</v>
      </c>
      <c r="G88" s="234">
        <f t="shared" si="23"/>
        <v>-25</v>
      </c>
      <c r="H88" s="234">
        <f t="shared" si="23"/>
        <v>-948</v>
      </c>
      <c r="I88" s="234">
        <f t="shared" si="23"/>
        <v>-105</v>
      </c>
      <c r="J88" s="234">
        <f t="shared" si="23"/>
        <v>0</v>
      </c>
      <c r="K88" s="234">
        <f t="shared" si="23"/>
        <v>0</v>
      </c>
      <c r="L88" s="234">
        <f t="shared" si="23"/>
        <v>0</v>
      </c>
      <c r="M88" s="234">
        <f t="shared" si="23"/>
        <v>0</v>
      </c>
      <c r="N88" s="234">
        <f t="shared" si="23"/>
        <v>0</v>
      </c>
      <c r="O88" s="234">
        <f t="shared" si="23"/>
        <v>0</v>
      </c>
      <c r="P88" s="234">
        <f t="shared" si="23"/>
        <v>0</v>
      </c>
      <c r="Q88" s="234">
        <f t="shared" si="23"/>
        <v>0</v>
      </c>
      <c r="R88" s="234">
        <f t="shared" si="23"/>
        <v>0</v>
      </c>
      <c r="S88" s="234">
        <f t="shared" si="23"/>
        <v>0</v>
      </c>
      <c r="T88" s="234">
        <f t="shared" si="23"/>
        <v>-100</v>
      </c>
      <c r="U88" s="234">
        <f t="shared" si="23"/>
        <v>-100</v>
      </c>
      <c r="V88" s="235">
        <f t="shared" si="23"/>
        <v>-100</v>
      </c>
      <c r="W88" s="232"/>
      <c r="X88" s="236"/>
      <c r="Y88" s="237"/>
    </row>
    <row r="89" spans="1:25" s="242" customFormat="1" ht="15.75">
      <c r="A89" s="238"/>
      <c r="B89" s="233" t="s">
        <v>121</v>
      </c>
      <c r="C89" s="234">
        <v>1891</v>
      </c>
      <c r="D89" s="234">
        <f>+C89+D88</f>
        <v>1795</v>
      </c>
      <c r="E89" s="234">
        <f aca="true" t="shared" si="24" ref="E89:V89">+D89+E88</f>
        <v>2008.7</v>
      </c>
      <c r="F89" s="234">
        <f t="shared" si="24"/>
        <v>1983.7</v>
      </c>
      <c r="G89" s="234">
        <f t="shared" si="24"/>
        <v>1958.7</v>
      </c>
      <c r="H89" s="234">
        <f t="shared" si="24"/>
        <v>1010.7</v>
      </c>
      <c r="I89" s="234">
        <f t="shared" si="24"/>
        <v>905.7</v>
      </c>
      <c r="J89" s="234">
        <f t="shared" si="24"/>
        <v>905.7</v>
      </c>
      <c r="K89" s="234">
        <f t="shared" si="24"/>
        <v>905.7</v>
      </c>
      <c r="L89" s="234">
        <f t="shared" si="24"/>
        <v>905.7</v>
      </c>
      <c r="M89" s="234">
        <f t="shared" si="24"/>
        <v>905.7</v>
      </c>
      <c r="N89" s="234">
        <f t="shared" si="24"/>
        <v>905.7</v>
      </c>
      <c r="O89" s="234">
        <f t="shared" si="24"/>
        <v>905.7</v>
      </c>
      <c r="P89" s="234">
        <f t="shared" si="24"/>
        <v>905.7</v>
      </c>
      <c r="Q89" s="234">
        <f t="shared" si="24"/>
        <v>905.7</v>
      </c>
      <c r="R89" s="234">
        <f t="shared" si="24"/>
        <v>905.7</v>
      </c>
      <c r="S89" s="234">
        <f t="shared" si="24"/>
        <v>905.7</v>
      </c>
      <c r="T89" s="234">
        <f t="shared" si="24"/>
        <v>805.7</v>
      </c>
      <c r="U89" s="234">
        <f t="shared" si="24"/>
        <v>705.7</v>
      </c>
      <c r="V89" s="235">
        <f t="shared" si="24"/>
        <v>605.7</v>
      </c>
      <c r="W89" s="239"/>
      <c r="X89" s="240"/>
      <c r="Y89" s="241"/>
    </row>
    <row r="90" spans="1:25" s="15" customFormat="1" ht="12.75">
      <c r="A90" s="16"/>
      <c r="B90" s="114" t="s">
        <v>91</v>
      </c>
      <c r="C90" s="115"/>
      <c r="D90" s="116"/>
      <c r="E90" s="116">
        <v>5.6</v>
      </c>
      <c r="F90" s="116">
        <f>+E90+5.6</f>
        <v>11.2</v>
      </c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7"/>
      <c r="W90" s="33"/>
      <c r="X90" s="35"/>
      <c r="Y90" s="17"/>
    </row>
    <row r="91" spans="1:25" s="15" customFormat="1" ht="12.75">
      <c r="A91" s="16"/>
      <c r="D91" s="96"/>
      <c r="E91" s="34"/>
      <c r="F91" s="34"/>
      <c r="G91" s="34"/>
      <c r="H91" s="34"/>
      <c r="I91" s="34"/>
      <c r="J91" s="34"/>
      <c r="K91" s="34"/>
      <c r="L91" s="96"/>
      <c r="M91" s="34"/>
      <c r="N91" s="96"/>
      <c r="O91" s="34"/>
      <c r="P91" s="34"/>
      <c r="Q91" s="34"/>
      <c r="R91" s="34"/>
      <c r="S91" s="34"/>
      <c r="T91" s="34"/>
      <c r="U91" s="34"/>
      <c r="V91" s="34"/>
      <c r="W91" s="33"/>
      <c r="X91" s="35"/>
      <c r="Y91" s="17"/>
    </row>
    <row r="92" spans="2:26" ht="15.75">
      <c r="B92" s="231" t="s">
        <v>47</v>
      </c>
      <c r="P92" s="251"/>
      <c r="Q92" s="251"/>
      <c r="R92" s="251"/>
      <c r="S92" s="251"/>
      <c r="T92" s="251"/>
      <c r="U92" s="251"/>
      <c r="V92" s="251"/>
      <c r="W92" s="251"/>
      <c r="X92" s="252"/>
      <c r="Y92" s="253"/>
      <c r="Z92" s="251"/>
    </row>
    <row r="93" spans="2:26" ht="12.75">
      <c r="B93" s="50"/>
      <c r="P93" s="251"/>
      <c r="Q93" s="251"/>
      <c r="R93" s="251"/>
      <c r="S93" s="251"/>
      <c r="T93" s="251"/>
      <c r="U93" s="251"/>
      <c r="V93" s="251"/>
      <c r="W93" s="251"/>
      <c r="X93" s="252"/>
      <c r="Y93" s="253"/>
      <c r="Z93" s="251"/>
    </row>
    <row r="98" ht="12.75">
      <c r="L98" s="77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2"/>
  <sheetViews>
    <sheetView workbookViewId="0" topLeftCell="A1">
      <pane ySplit="7" topLeftCell="BM8" activePane="bottomLeft" state="frozen"/>
      <selection pane="topLeft" activeCell="A1" sqref="A1"/>
      <selection pane="bottomLeft" activeCell="E92" sqref="E92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14" ht="31.5">
      <c r="B1" s="104" t="s">
        <v>119</v>
      </c>
      <c r="G1" s="57"/>
      <c r="H1" s="223" t="s">
        <v>108</v>
      </c>
      <c r="I1" s="57"/>
      <c r="J1" s="57"/>
      <c r="K1" s="57"/>
      <c r="L1" s="57"/>
      <c r="M1" s="57"/>
      <c r="N1" s="57"/>
    </row>
    <row r="2" spans="1:25" s="89" customFormat="1" ht="31.5" customHeight="1">
      <c r="A2" s="29"/>
      <c r="B2" s="88"/>
      <c r="H2" s="90"/>
      <c r="J2" s="227"/>
      <c r="K2" s="229" t="s">
        <v>120</v>
      </c>
      <c r="X2" s="91"/>
      <c r="Y2" s="92"/>
    </row>
    <row r="3" spans="2:6" ht="20.25">
      <c r="B3" s="105" t="s">
        <v>97</v>
      </c>
      <c r="C3" s="86"/>
      <c r="D3" s="176"/>
      <c r="E3" s="95"/>
      <c r="F3" s="87"/>
    </row>
    <row r="4" spans="1:25" s="18" customFormat="1" ht="13.5" thickBot="1">
      <c r="A4" s="16"/>
      <c r="C4" s="135"/>
      <c r="D4" s="166" t="s">
        <v>18</v>
      </c>
      <c r="E4" s="41" t="s">
        <v>0</v>
      </c>
      <c r="F4" s="19" t="s">
        <v>1</v>
      </c>
      <c r="G4" s="19" t="s">
        <v>2</v>
      </c>
      <c r="H4" s="19" t="s">
        <v>3</v>
      </c>
      <c r="I4" s="20" t="s">
        <v>4</v>
      </c>
      <c r="J4" s="20" t="s">
        <v>5</v>
      </c>
      <c r="K4" s="20" t="s">
        <v>6</v>
      </c>
      <c r="L4" s="20" t="s">
        <v>7</v>
      </c>
      <c r="M4" s="21" t="s">
        <v>8</v>
      </c>
      <c r="N4" s="21" t="s">
        <v>9</v>
      </c>
      <c r="O4" s="21" t="s">
        <v>10</v>
      </c>
      <c r="P4" s="21" t="s">
        <v>11</v>
      </c>
      <c r="Q4" s="18">
        <v>2015</v>
      </c>
      <c r="R4" s="18">
        <v>2016</v>
      </c>
      <c r="S4" s="18">
        <v>2017</v>
      </c>
      <c r="T4" s="18">
        <v>2018</v>
      </c>
      <c r="U4" s="18">
        <v>2019</v>
      </c>
      <c r="V4" s="18">
        <v>2020</v>
      </c>
      <c r="W4" s="16"/>
      <c r="X4" s="23"/>
      <c r="Y4" s="22"/>
    </row>
    <row r="5" spans="2:25" s="120" customFormat="1" ht="17.25" thickBot="1">
      <c r="B5" s="127" t="s">
        <v>92</v>
      </c>
      <c r="C5" s="128"/>
      <c r="D5" s="177"/>
      <c r="E5" s="172"/>
      <c r="F5" s="170"/>
      <c r="G5" s="129">
        <v>0.0225</v>
      </c>
      <c r="H5" s="130">
        <f aca="true" t="shared" si="0" ref="H5:O6">+G5</f>
        <v>0.0225</v>
      </c>
      <c r="I5" s="129">
        <f t="shared" si="0"/>
        <v>0.0225</v>
      </c>
      <c r="J5" s="129">
        <f t="shared" si="0"/>
        <v>0.0225</v>
      </c>
      <c r="K5" s="129">
        <f t="shared" si="0"/>
        <v>0.0225</v>
      </c>
      <c r="L5" s="130">
        <f t="shared" si="0"/>
        <v>0.0225</v>
      </c>
      <c r="M5" s="172">
        <f t="shared" si="0"/>
        <v>0.0225</v>
      </c>
      <c r="N5" s="129">
        <f t="shared" si="0"/>
        <v>0.0225</v>
      </c>
      <c r="O5" s="129">
        <f t="shared" si="0"/>
        <v>0.0225</v>
      </c>
      <c r="P5" s="130">
        <f>+O5</f>
        <v>0.0225</v>
      </c>
      <c r="Q5" s="170">
        <v>0.15</v>
      </c>
      <c r="R5" s="170">
        <v>0.15</v>
      </c>
      <c r="S5" s="130">
        <v>0.15</v>
      </c>
      <c r="T5" s="130">
        <v>0.15</v>
      </c>
      <c r="U5" s="130">
        <v>0.15</v>
      </c>
      <c r="V5" s="130">
        <v>0.15</v>
      </c>
      <c r="X5" s="125"/>
      <c r="Y5" s="126"/>
    </row>
    <row r="6" spans="2:25" s="120" customFormat="1" ht="17.25" thickBot="1">
      <c r="B6" s="121" t="s">
        <v>93</v>
      </c>
      <c r="C6" s="122"/>
      <c r="D6" s="122"/>
      <c r="E6" s="171"/>
      <c r="F6" s="171"/>
      <c r="G6" s="123">
        <v>-0.044</v>
      </c>
      <c r="H6" s="124">
        <f t="shared" si="0"/>
        <v>-0.044</v>
      </c>
      <c r="I6" s="173">
        <f t="shared" si="0"/>
        <v>-0.044</v>
      </c>
      <c r="J6" s="123">
        <f t="shared" si="0"/>
        <v>-0.044</v>
      </c>
      <c r="K6" s="123">
        <f t="shared" si="0"/>
        <v>-0.044</v>
      </c>
      <c r="L6" s="124">
        <f t="shared" si="0"/>
        <v>-0.044</v>
      </c>
      <c r="M6" s="173">
        <f t="shared" si="0"/>
        <v>-0.044</v>
      </c>
      <c r="N6" s="123">
        <f t="shared" si="0"/>
        <v>-0.044</v>
      </c>
      <c r="O6" s="123">
        <f t="shared" si="0"/>
        <v>-0.044</v>
      </c>
      <c r="P6" s="124">
        <f>+O6</f>
        <v>-0.044</v>
      </c>
      <c r="Q6" s="171">
        <v>-0.15</v>
      </c>
      <c r="R6" s="171">
        <v>-0.15</v>
      </c>
      <c r="S6" s="124">
        <v>-0.1</v>
      </c>
      <c r="T6" s="124">
        <v>-0.05</v>
      </c>
      <c r="U6" s="124">
        <v>0</v>
      </c>
      <c r="V6" s="124">
        <v>0</v>
      </c>
      <c r="X6" s="125"/>
      <c r="Y6" s="126"/>
    </row>
    <row r="7" spans="2:6" ht="20.25">
      <c r="B7" s="85"/>
      <c r="C7" s="86"/>
      <c r="D7" s="86"/>
      <c r="E7" s="95"/>
      <c r="F7" s="190"/>
    </row>
    <row r="8" spans="1:25" s="15" customFormat="1" ht="15.75">
      <c r="A8" s="16"/>
      <c r="D8" s="146"/>
      <c r="E8" s="181"/>
      <c r="F8" s="191" t="s">
        <v>53</v>
      </c>
      <c r="X8" s="23"/>
      <c r="Y8" s="22"/>
    </row>
    <row r="9" spans="1:25" s="18" customFormat="1" ht="12.75">
      <c r="A9" s="16"/>
      <c r="C9" s="135" t="s">
        <v>34</v>
      </c>
      <c r="D9" s="166" t="s">
        <v>18</v>
      </c>
      <c r="E9" s="188" t="s">
        <v>0</v>
      </c>
      <c r="F9" s="192" t="s">
        <v>1</v>
      </c>
      <c r="G9" s="19" t="s">
        <v>2</v>
      </c>
      <c r="H9" s="19" t="s">
        <v>3</v>
      </c>
      <c r="I9" s="20" t="s">
        <v>4</v>
      </c>
      <c r="J9" s="20" t="s">
        <v>5</v>
      </c>
      <c r="K9" s="20" t="s">
        <v>6</v>
      </c>
      <c r="L9" s="20" t="s">
        <v>7</v>
      </c>
      <c r="M9" s="21" t="s">
        <v>8</v>
      </c>
      <c r="N9" s="21" t="s">
        <v>9</v>
      </c>
      <c r="O9" s="21" t="s">
        <v>10</v>
      </c>
      <c r="P9" s="21" t="s">
        <v>11</v>
      </c>
      <c r="Q9" s="18">
        <v>2015</v>
      </c>
      <c r="R9" s="18">
        <v>2016</v>
      </c>
      <c r="S9" s="18">
        <v>2017</v>
      </c>
      <c r="T9" s="18">
        <v>2018</v>
      </c>
      <c r="U9" s="18">
        <v>2019</v>
      </c>
      <c r="V9" s="18">
        <v>2020</v>
      </c>
      <c r="W9" s="16" t="s">
        <v>43</v>
      </c>
      <c r="X9" s="23"/>
      <c r="Y9" s="22"/>
    </row>
    <row r="10" spans="1:25" s="2" customFormat="1" ht="12.75">
      <c r="A10" s="29"/>
      <c r="B10" s="48" t="s">
        <v>54</v>
      </c>
      <c r="C10" s="136"/>
      <c r="D10" s="140"/>
      <c r="E10" s="140"/>
      <c r="F10" s="193"/>
      <c r="X10" s="9"/>
      <c r="Y10" s="11"/>
    </row>
    <row r="11" spans="1:25" s="2" customFormat="1" ht="12.75">
      <c r="A11" s="29"/>
      <c r="B11" s="94"/>
      <c r="C11" s="136"/>
      <c r="D11" s="140"/>
      <c r="E11" s="140"/>
      <c r="F11" s="193"/>
      <c r="X11" s="9"/>
      <c r="Y11" s="11"/>
    </row>
    <row r="12" spans="1:25" s="2" customFormat="1" ht="12.75">
      <c r="A12" s="29"/>
      <c r="B12" s="65" t="s">
        <v>67</v>
      </c>
      <c r="C12" s="136"/>
      <c r="D12" s="148">
        <v>90</v>
      </c>
      <c r="E12" s="148">
        <v>85.9</v>
      </c>
      <c r="F12" s="194">
        <v>89.7</v>
      </c>
      <c r="G12" s="12">
        <f aca="true" t="shared" si="1" ref="G12:P12">+F12*(1+G13)</f>
        <v>91.71825</v>
      </c>
      <c r="H12" s="12">
        <f t="shared" si="1"/>
        <v>93.781910625</v>
      </c>
      <c r="I12" s="12">
        <f t="shared" si="1"/>
        <v>95.89200361406249</v>
      </c>
      <c r="J12" s="12">
        <f t="shared" si="1"/>
        <v>98.0495736953789</v>
      </c>
      <c r="K12" s="12">
        <f t="shared" si="1"/>
        <v>100.25568910352492</v>
      </c>
      <c r="L12" s="12">
        <f t="shared" si="1"/>
        <v>102.51144210835422</v>
      </c>
      <c r="M12" s="12">
        <f t="shared" si="1"/>
        <v>104.81794955579218</v>
      </c>
      <c r="N12" s="12">
        <f t="shared" si="1"/>
        <v>107.1763534207975</v>
      </c>
      <c r="O12" s="12">
        <f t="shared" si="1"/>
        <v>109.58782137276543</v>
      </c>
      <c r="P12" s="12">
        <f t="shared" si="1"/>
        <v>112.05354735365265</v>
      </c>
      <c r="Q12" s="12">
        <f>+P12*4</f>
        <v>448.2141894146106</v>
      </c>
      <c r="R12" s="12">
        <f>+Q12*(1+R13)</f>
        <v>515.4463178268021</v>
      </c>
      <c r="S12" s="12">
        <f>+R12*(1+S13)</f>
        <v>592.7632655008224</v>
      </c>
      <c r="T12" s="12">
        <f>+S12*(1+T13)</f>
        <v>681.6777553259457</v>
      </c>
      <c r="U12" s="12">
        <f>+T12*(1+U13)</f>
        <v>783.9294186248375</v>
      </c>
      <c r="V12" s="12">
        <f>+U12*(1+V13)</f>
        <v>901.518831418563</v>
      </c>
      <c r="X12" s="9"/>
      <c r="Y12" s="11"/>
    </row>
    <row r="13" spans="1:25" s="2" customFormat="1" ht="12.75">
      <c r="A13" s="29"/>
      <c r="B13" s="66" t="s">
        <v>70</v>
      </c>
      <c r="C13" s="137"/>
      <c r="D13" s="137"/>
      <c r="E13" s="182"/>
      <c r="F13" s="195"/>
      <c r="G13" s="70">
        <f aca="true" t="shared" si="2" ref="G13:R13">+G5</f>
        <v>0.0225</v>
      </c>
      <c r="H13" s="70">
        <f t="shared" si="2"/>
        <v>0.0225</v>
      </c>
      <c r="I13" s="70">
        <f t="shared" si="2"/>
        <v>0.0225</v>
      </c>
      <c r="J13" s="70">
        <f t="shared" si="2"/>
        <v>0.0225</v>
      </c>
      <c r="K13" s="70">
        <f t="shared" si="2"/>
        <v>0.0225</v>
      </c>
      <c r="L13" s="70">
        <f t="shared" si="2"/>
        <v>0.0225</v>
      </c>
      <c r="M13" s="70">
        <f t="shared" si="2"/>
        <v>0.0225</v>
      </c>
      <c r="N13" s="70">
        <f t="shared" si="2"/>
        <v>0.0225</v>
      </c>
      <c r="O13" s="70">
        <f t="shared" si="2"/>
        <v>0.0225</v>
      </c>
      <c r="P13" s="70">
        <f t="shared" si="2"/>
        <v>0.0225</v>
      </c>
      <c r="Q13" s="70">
        <f t="shared" si="2"/>
        <v>0.15</v>
      </c>
      <c r="R13" s="70">
        <f t="shared" si="2"/>
        <v>0.15</v>
      </c>
      <c r="S13" s="70">
        <f>+S5</f>
        <v>0.15</v>
      </c>
      <c r="T13" s="70">
        <f>+T5</f>
        <v>0.15</v>
      </c>
      <c r="U13" s="70">
        <f>+U5</f>
        <v>0.15</v>
      </c>
      <c r="V13" s="70">
        <f>+V5</f>
        <v>0.15</v>
      </c>
      <c r="X13" s="9"/>
      <c r="Y13" s="11"/>
    </row>
    <row r="14" spans="1:22" s="102" customFormat="1" ht="12.75">
      <c r="A14" s="100"/>
      <c r="B14" s="101" t="s">
        <v>106</v>
      </c>
      <c r="C14" s="98"/>
      <c r="D14" s="98">
        <v>0.394</v>
      </c>
      <c r="E14" s="98">
        <v>0.4</v>
      </c>
      <c r="F14" s="196">
        <f aca="true" t="shared" si="3" ref="F14:R14">+E14</f>
        <v>0.4</v>
      </c>
      <c r="G14" s="102">
        <f t="shared" si="3"/>
        <v>0.4</v>
      </c>
      <c r="H14" s="102">
        <f t="shared" si="3"/>
        <v>0.4</v>
      </c>
      <c r="I14" s="102">
        <f t="shared" si="3"/>
        <v>0.4</v>
      </c>
      <c r="J14" s="102">
        <f t="shared" si="3"/>
        <v>0.4</v>
      </c>
      <c r="K14" s="102">
        <f t="shared" si="3"/>
        <v>0.4</v>
      </c>
      <c r="L14" s="102">
        <f t="shared" si="3"/>
        <v>0.4</v>
      </c>
      <c r="M14" s="102">
        <f t="shared" si="3"/>
        <v>0.4</v>
      </c>
      <c r="N14" s="102">
        <f t="shared" si="3"/>
        <v>0.4</v>
      </c>
      <c r="O14" s="102">
        <f t="shared" si="3"/>
        <v>0.4</v>
      </c>
      <c r="P14" s="102">
        <f t="shared" si="3"/>
        <v>0.4</v>
      </c>
      <c r="Q14" s="102">
        <f t="shared" si="3"/>
        <v>0.4</v>
      </c>
      <c r="R14" s="102">
        <f t="shared" si="3"/>
        <v>0.4</v>
      </c>
      <c r="S14" s="102">
        <f>+R14</f>
        <v>0.4</v>
      </c>
      <c r="T14" s="102">
        <f>+S14</f>
        <v>0.4</v>
      </c>
      <c r="U14" s="102">
        <f>+T14</f>
        <v>0.4</v>
      </c>
      <c r="V14" s="102">
        <f>+U14</f>
        <v>0.4</v>
      </c>
    </row>
    <row r="15" spans="1:25" s="2" customFormat="1" ht="12.75">
      <c r="A15" s="29"/>
      <c r="B15" s="25" t="s">
        <v>69</v>
      </c>
      <c r="C15" s="136"/>
      <c r="D15" s="73">
        <f>+D12*D14</f>
        <v>35.46</v>
      </c>
      <c r="E15" s="73">
        <f>+E12*E14</f>
        <v>34.36000000000001</v>
      </c>
      <c r="F15" s="197">
        <f aca="true" t="shared" si="4" ref="F15:R15">+F12*F14</f>
        <v>35.88</v>
      </c>
      <c r="G15" s="73">
        <f t="shared" si="4"/>
        <v>36.6873</v>
      </c>
      <c r="H15" s="73">
        <f t="shared" si="4"/>
        <v>37.51276425</v>
      </c>
      <c r="I15" s="73">
        <f t="shared" si="4"/>
        <v>38.356801445624995</v>
      </c>
      <c r="J15" s="73">
        <f t="shared" si="4"/>
        <v>39.21982947815156</v>
      </c>
      <c r="K15" s="73">
        <f t="shared" si="4"/>
        <v>40.10227564140997</v>
      </c>
      <c r="L15" s="73">
        <f t="shared" si="4"/>
        <v>41.00457684334169</v>
      </c>
      <c r="M15" s="73">
        <f t="shared" si="4"/>
        <v>41.92717982231687</v>
      </c>
      <c r="N15" s="73">
        <f t="shared" si="4"/>
        <v>42.870541368319</v>
      </c>
      <c r="O15" s="73">
        <f t="shared" si="4"/>
        <v>43.83512854910617</v>
      </c>
      <c r="P15" s="73">
        <f t="shared" si="4"/>
        <v>44.82141894146106</v>
      </c>
      <c r="Q15" s="73">
        <f t="shared" si="4"/>
        <v>179.28567576584425</v>
      </c>
      <c r="R15" s="73">
        <f t="shared" si="4"/>
        <v>206.17852713072085</v>
      </c>
      <c r="S15" s="73">
        <f>+S12*S14</f>
        <v>237.10530620032898</v>
      </c>
      <c r="T15" s="73">
        <f>+T12*T14</f>
        <v>272.6711021303783</v>
      </c>
      <c r="U15" s="73">
        <f>+U12*U14</f>
        <v>313.571767449935</v>
      </c>
      <c r="V15" s="73">
        <f>+V12*V14</f>
        <v>360.6075325674252</v>
      </c>
      <c r="X15" s="9"/>
      <c r="Y15" s="11"/>
    </row>
    <row r="16" spans="1:25" s="2" customFormat="1" ht="12.75">
      <c r="A16" s="29"/>
      <c r="B16" s="65"/>
      <c r="C16" s="136"/>
      <c r="D16" s="148"/>
      <c r="E16" s="148"/>
      <c r="F16" s="19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29"/>
      <c r="B17" s="65" t="s">
        <v>68</v>
      </c>
      <c r="C17" s="136"/>
      <c r="D17" s="148">
        <v>223.3</v>
      </c>
      <c r="E17" s="148">
        <f>+E22-E12</f>
        <v>203.20000000000002</v>
      </c>
      <c r="F17" s="194">
        <f>+F22-F12</f>
        <v>196.8</v>
      </c>
      <c r="G17" s="12">
        <f aca="true" t="shared" si="5" ref="G17:R17">+F17*(1+G18)</f>
        <v>188.1408</v>
      </c>
      <c r="H17" s="12">
        <f t="shared" si="5"/>
        <v>179.8626048</v>
      </c>
      <c r="I17" s="12">
        <f t="shared" si="5"/>
        <v>171.9486501888</v>
      </c>
      <c r="J17" s="12">
        <f t="shared" si="5"/>
        <v>164.3829095804928</v>
      </c>
      <c r="K17" s="12">
        <f t="shared" si="5"/>
        <v>157.1500615589511</v>
      </c>
      <c r="L17" s="12">
        <f t="shared" si="5"/>
        <v>150.23545885035725</v>
      </c>
      <c r="M17" s="12">
        <f t="shared" si="5"/>
        <v>143.62509866094152</v>
      </c>
      <c r="N17" s="12">
        <f t="shared" si="5"/>
        <v>137.3055943198601</v>
      </c>
      <c r="O17" s="12">
        <f t="shared" si="5"/>
        <v>131.26414816978624</v>
      </c>
      <c r="P17" s="12">
        <f t="shared" si="5"/>
        <v>125.48852565031564</v>
      </c>
      <c r="Q17" s="12">
        <f>+P17*4</f>
        <v>501.95410260126255</v>
      </c>
      <c r="R17" s="12">
        <f t="shared" si="5"/>
        <v>426.6609872110732</v>
      </c>
      <c r="S17" s="12">
        <f>+R17*(1+S18)</f>
        <v>383.9948884899659</v>
      </c>
      <c r="T17" s="12">
        <f>+S17*(1+T18)</f>
        <v>364.7951440654676</v>
      </c>
      <c r="U17" s="12">
        <f>+T17*(1+U18)</f>
        <v>364.7951440654676</v>
      </c>
      <c r="V17" s="12">
        <f>+U17*(1+V18)</f>
        <v>364.7951440654676</v>
      </c>
      <c r="X17" s="9"/>
      <c r="Y17" s="11"/>
    </row>
    <row r="18" spans="1:25" s="2" customFormat="1" ht="12.75">
      <c r="A18" s="29"/>
      <c r="B18" s="66" t="s">
        <v>73</v>
      </c>
      <c r="C18" s="136"/>
      <c r="D18" s="148"/>
      <c r="E18" s="183"/>
      <c r="F18" s="198"/>
      <c r="G18" s="71">
        <f aca="true" t="shared" si="6" ref="G18:R18">+G6</f>
        <v>-0.044</v>
      </c>
      <c r="H18" s="71">
        <f t="shared" si="6"/>
        <v>-0.044</v>
      </c>
      <c r="I18" s="71">
        <f t="shared" si="6"/>
        <v>-0.044</v>
      </c>
      <c r="J18" s="71">
        <f t="shared" si="6"/>
        <v>-0.044</v>
      </c>
      <c r="K18" s="71">
        <f t="shared" si="6"/>
        <v>-0.044</v>
      </c>
      <c r="L18" s="71">
        <f t="shared" si="6"/>
        <v>-0.044</v>
      </c>
      <c r="M18" s="71">
        <f t="shared" si="6"/>
        <v>-0.044</v>
      </c>
      <c r="N18" s="71">
        <f t="shared" si="6"/>
        <v>-0.044</v>
      </c>
      <c r="O18" s="71">
        <f t="shared" si="6"/>
        <v>-0.044</v>
      </c>
      <c r="P18" s="71">
        <f t="shared" si="6"/>
        <v>-0.044</v>
      </c>
      <c r="Q18" s="71">
        <f t="shared" si="6"/>
        <v>-0.15</v>
      </c>
      <c r="R18" s="71">
        <f t="shared" si="6"/>
        <v>-0.15</v>
      </c>
      <c r="S18" s="71">
        <f>+S6</f>
        <v>-0.1</v>
      </c>
      <c r="T18" s="71">
        <f>+T6</f>
        <v>-0.05</v>
      </c>
      <c r="U18" s="71">
        <f>+U6</f>
        <v>0</v>
      </c>
      <c r="V18" s="71">
        <f>+V6</f>
        <v>0</v>
      </c>
      <c r="X18" s="9"/>
      <c r="Y18" s="11"/>
    </row>
    <row r="19" spans="1:23" s="102" customFormat="1" ht="15">
      <c r="A19" s="100"/>
      <c r="B19" s="101" t="s">
        <v>106</v>
      </c>
      <c r="C19" s="138"/>
      <c r="D19" s="98">
        <v>0.5</v>
      </c>
      <c r="E19" s="98">
        <v>0.55</v>
      </c>
      <c r="F19" s="196">
        <v>0.56</v>
      </c>
      <c r="G19" s="98">
        <v>0.545</v>
      </c>
      <c r="H19" s="98">
        <v>0.54</v>
      </c>
      <c r="I19" s="98">
        <v>0.54</v>
      </c>
      <c r="J19" s="98">
        <v>0.535</v>
      </c>
      <c r="K19" s="98">
        <v>0.53</v>
      </c>
      <c r="L19" s="98">
        <v>0.53</v>
      </c>
      <c r="M19" s="98">
        <v>0.53</v>
      </c>
      <c r="N19" s="98">
        <v>0.53</v>
      </c>
      <c r="O19" s="98">
        <v>0.53</v>
      </c>
      <c r="P19" s="98">
        <v>0.53</v>
      </c>
      <c r="Q19" s="98">
        <v>0.53</v>
      </c>
      <c r="R19" s="98">
        <v>0.53</v>
      </c>
      <c r="S19" s="98">
        <v>0.53</v>
      </c>
      <c r="T19" s="98">
        <v>0.53</v>
      </c>
      <c r="U19" s="98">
        <v>0.53</v>
      </c>
      <c r="V19" s="98">
        <v>0.53</v>
      </c>
      <c r="W19" s="119"/>
    </row>
    <row r="20" spans="1:25" s="2" customFormat="1" ht="12.75">
      <c r="A20" s="29"/>
      <c r="B20" s="25" t="s">
        <v>71</v>
      </c>
      <c r="C20" s="136"/>
      <c r="D20" s="73">
        <f>+D17*D19</f>
        <v>111.65</v>
      </c>
      <c r="E20" s="73">
        <f>+E23-E15</f>
        <v>111.63999999999999</v>
      </c>
      <c r="F20" s="197">
        <f>+F23-F15</f>
        <v>109.32</v>
      </c>
      <c r="G20" s="73">
        <f aca="true" t="shared" si="7" ref="G20:R20">+G17*G19</f>
        <v>102.53673600000002</v>
      </c>
      <c r="H20" s="73">
        <f t="shared" si="7"/>
        <v>97.12580659200002</v>
      </c>
      <c r="I20" s="73">
        <f t="shared" si="7"/>
        <v>92.85227110195201</v>
      </c>
      <c r="J20" s="73">
        <f t="shared" si="7"/>
        <v>87.94485662556365</v>
      </c>
      <c r="K20" s="73">
        <f t="shared" si="7"/>
        <v>83.2895326262441</v>
      </c>
      <c r="L20" s="73">
        <f t="shared" si="7"/>
        <v>79.62479319068935</v>
      </c>
      <c r="M20" s="73">
        <f t="shared" si="7"/>
        <v>76.12130229029901</v>
      </c>
      <c r="N20" s="73">
        <f t="shared" si="7"/>
        <v>72.77196498952586</v>
      </c>
      <c r="O20" s="73">
        <f t="shared" si="7"/>
        <v>69.5699985299867</v>
      </c>
      <c r="P20" s="73">
        <f t="shared" si="7"/>
        <v>66.50891859466729</v>
      </c>
      <c r="Q20" s="73">
        <f t="shared" si="7"/>
        <v>266.03567437866917</v>
      </c>
      <c r="R20" s="73">
        <f t="shared" si="7"/>
        <v>226.1303232218688</v>
      </c>
      <c r="S20" s="73">
        <f>+S17*S19</f>
        <v>203.51729089968194</v>
      </c>
      <c r="T20" s="73">
        <f>+T17*T19</f>
        <v>193.34142635469783</v>
      </c>
      <c r="U20" s="73">
        <f>+U17*U19</f>
        <v>193.34142635469783</v>
      </c>
      <c r="V20" s="73">
        <f>+V17*V19</f>
        <v>193.34142635469783</v>
      </c>
      <c r="X20" s="9"/>
      <c r="Y20" s="11"/>
    </row>
    <row r="21" spans="1:25" s="2" customFormat="1" ht="12.75">
      <c r="A21" s="29"/>
      <c r="B21" s="66"/>
      <c r="C21" s="136"/>
      <c r="D21" s="36"/>
      <c r="E21" s="36"/>
      <c r="F21" s="199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X21" s="9"/>
      <c r="Y21" s="11"/>
    </row>
    <row r="22" spans="1:25" s="2" customFormat="1" ht="12.75">
      <c r="A22" s="29"/>
      <c r="B22" s="66" t="s">
        <v>74</v>
      </c>
      <c r="C22" s="136"/>
      <c r="D22" s="148">
        <f>+D12+D17</f>
        <v>313.3</v>
      </c>
      <c r="E22" s="148">
        <v>289.1</v>
      </c>
      <c r="F22" s="194">
        <v>286.5</v>
      </c>
      <c r="G22" s="12">
        <f aca="true" t="shared" si="8" ref="G22:R22">+G12+G17</f>
        <v>279.85905</v>
      </c>
      <c r="H22" s="12">
        <f t="shared" si="8"/>
        <v>273.644515425</v>
      </c>
      <c r="I22" s="12">
        <f t="shared" si="8"/>
        <v>267.8406538028625</v>
      </c>
      <c r="J22" s="12">
        <f t="shared" si="8"/>
        <v>262.4324832758717</v>
      </c>
      <c r="K22" s="12">
        <f t="shared" si="8"/>
        <v>257.405750662476</v>
      </c>
      <c r="L22" s="12">
        <f t="shared" si="8"/>
        <v>252.74690095871148</v>
      </c>
      <c r="M22" s="12">
        <f t="shared" si="8"/>
        <v>248.4430482167337</v>
      </c>
      <c r="N22" s="12">
        <f t="shared" si="8"/>
        <v>244.48194774065757</v>
      </c>
      <c r="O22" s="12">
        <f t="shared" si="8"/>
        <v>240.85196954255167</v>
      </c>
      <c r="P22" s="12">
        <f t="shared" si="8"/>
        <v>237.54207300396828</v>
      </c>
      <c r="Q22" s="12">
        <f t="shared" si="8"/>
        <v>950.1682920158731</v>
      </c>
      <c r="R22" s="12">
        <f t="shared" si="8"/>
        <v>942.1073050378752</v>
      </c>
      <c r="S22" s="12">
        <f>+S12+S17</f>
        <v>976.7581539907883</v>
      </c>
      <c r="T22" s="12">
        <f>+T12+T17</f>
        <v>1046.4728993914132</v>
      </c>
      <c r="U22" s="12">
        <f>+U12+U17</f>
        <v>1148.724562690305</v>
      </c>
      <c r="V22" s="12">
        <f>+V12+V17</f>
        <v>1266.3139754840306</v>
      </c>
      <c r="X22" s="9"/>
      <c r="Y22" s="11"/>
    </row>
    <row r="23" spans="1:25" s="25" customFormat="1" ht="13.5" thickBot="1">
      <c r="A23" s="30" t="s">
        <v>14</v>
      </c>
      <c r="B23" s="30" t="s">
        <v>99</v>
      </c>
      <c r="C23" s="139"/>
      <c r="D23" s="74">
        <f>+D15+D20</f>
        <v>147.11</v>
      </c>
      <c r="E23" s="74">
        <v>146</v>
      </c>
      <c r="F23" s="200">
        <v>145.2</v>
      </c>
      <c r="G23" s="74">
        <f aca="true" t="shared" si="9" ref="G23:R23">+G15+G20</f>
        <v>139.224036</v>
      </c>
      <c r="H23" s="74">
        <f t="shared" si="9"/>
        <v>134.638570842</v>
      </c>
      <c r="I23" s="74">
        <f t="shared" si="9"/>
        <v>131.20907254757702</v>
      </c>
      <c r="J23" s="74">
        <f t="shared" si="9"/>
        <v>127.16468610371521</v>
      </c>
      <c r="K23" s="74">
        <f t="shared" si="9"/>
        <v>123.39180826765406</v>
      </c>
      <c r="L23" s="74">
        <f t="shared" si="9"/>
        <v>120.62937003403104</v>
      </c>
      <c r="M23" s="74">
        <f t="shared" si="9"/>
        <v>118.04848211261589</v>
      </c>
      <c r="N23" s="74">
        <f t="shared" si="9"/>
        <v>115.64250635784487</v>
      </c>
      <c r="O23" s="74">
        <f t="shared" si="9"/>
        <v>113.40512707909288</v>
      </c>
      <c r="P23" s="74">
        <f t="shared" si="9"/>
        <v>111.33033753612835</v>
      </c>
      <c r="Q23" s="74">
        <f t="shared" si="9"/>
        <v>445.3213501445134</v>
      </c>
      <c r="R23" s="74">
        <f t="shared" si="9"/>
        <v>432.3088503525896</v>
      </c>
      <c r="S23" s="74">
        <f>+S15+S20</f>
        <v>440.6225971000109</v>
      </c>
      <c r="T23" s="74">
        <f>+T15+T20</f>
        <v>466.01252848507613</v>
      </c>
      <c r="U23" s="74">
        <f>+U15+U20</f>
        <v>506.91319380463284</v>
      </c>
      <c r="V23" s="74">
        <f>+V15+V20</f>
        <v>553.948958922123</v>
      </c>
      <c r="X23" s="27"/>
      <c r="Y23" s="28"/>
    </row>
    <row r="24" spans="1:25" s="25" customFormat="1" ht="13.5" thickTop="1">
      <c r="A24" s="30"/>
      <c r="B24" s="25" t="s">
        <v>75</v>
      </c>
      <c r="C24" s="139" t="s">
        <v>110</v>
      </c>
      <c r="D24" s="76">
        <f>+D23/D22</f>
        <v>0.4695499521225663</v>
      </c>
      <c r="E24" s="76">
        <f>+E23/E22</f>
        <v>0.5050155655482531</v>
      </c>
      <c r="F24" s="201">
        <f>+F23/F22</f>
        <v>0.506806282722513</v>
      </c>
      <c r="G24" s="76">
        <f aca="true" t="shared" si="10" ref="G24:R24">+G23/G22</f>
        <v>0.4974791274393306</v>
      </c>
      <c r="H24" s="76">
        <f t="shared" si="10"/>
        <v>0.492019986707541</v>
      </c>
      <c r="I24" s="76">
        <f t="shared" si="10"/>
        <v>0.48987736060467585</v>
      </c>
      <c r="J24" s="76">
        <f t="shared" si="10"/>
        <v>0.48456153185136924</v>
      </c>
      <c r="K24" s="76">
        <f t="shared" si="10"/>
        <v>0.47936694479468683</v>
      </c>
      <c r="L24" s="76">
        <f t="shared" si="10"/>
        <v>0.4772733892145208</v>
      </c>
      <c r="M24" s="76">
        <f t="shared" si="10"/>
        <v>0.4751530902552532</v>
      </c>
      <c r="N24" s="76">
        <f t="shared" si="10"/>
        <v>0.4730104100795063</v>
      </c>
      <c r="O24" s="76">
        <f t="shared" si="10"/>
        <v>0.4708499054190106</v>
      </c>
      <c r="P24" s="76">
        <f t="shared" si="10"/>
        <v>0.4686762901756293</v>
      </c>
      <c r="Q24" s="76">
        <f t="shared" si="10"/>
        <v>0.4686762901756293</v>
      </c>
      <c r="R24" s="76">
        <f t="shared" si="10"/>
        <v>0.4588743214714906</v>
      </c>
      <c r="S24" s="76">
        <f>+S23/S22</f>
        <v>0.4511071602522464</v>
      </c>
      <c r="T24" s="76">
        <f>+T23/T22</f>
        <v>0.4453173405217568</v>
      </c>
      <c r="U24" s="76">
        <f>+U23/U22</f>
        <v>0.441283498471945</v>
      </c>
      <c r="V24" s="76">
        <f>+V23/V22</f>
        <v>0.4374499292013135</v>
      </c>
      <c r="X24" s="27"/>
      <c r="Y24" s="28"/>
    </row>
    <row r="25" spans="1:25" s="2" customFormat="1" ht="12.75">
      <c r="A25" s="29"/>
      <c r="B25" s="94"/>
      <c r="C25" s="136"/>
      <c r="D25" s="140"/>
      <c r="E25" s="140"/>
      <c r="F25" s="193"/>
      <c r="X25" s="9"/>
      <c r="Y25" s="11"/>
    </row>
    <row r="26" spans="1:25" s="25" customFormat="1" ht="12.75">
      <c r="A26" s="30"/>
      <c r="B26" s="24"/>
      <c r="C26" s="139"/>
      <c r="D26" s="36"/>
      <c r="E26" s="36"/>
      <c r="F26" s="199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X26" s="27"/>
      <c r="Y26" s="28"/>
    </row>
    <row r="27" spans="1:25" s="2" customFormat="1" ht="12.75">
      <c r="A27" s="29"/>
      <c r="B27" s="48" t="s">
        <v>44</v>
      </c>
      <c r="C27" s="140"/>
      <c r="D27" s="148"/>
      <c r="E27" s="148"/>
      <c r="F27" s="19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29"/>
      <c r="B28" s="24" t="s">
        <v>15</v>
      </c>
      <c r="C28" s="140"/>
      <c r="D28" s="148"/>
      <c r="E28" s="148"/>
      <c r="F28" s="19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29"/>
      <c r="B29" s="1" t="s">
        <v>78</v>
      </c>
      <c r="C29" s="140"/>
      <c r="D29" s="148">
        <f>266*0.05/4</f>
        <v>3.325</v>
      </c>
      <c r="E29" s="148">
        <v>2.07</v>
      </c>
      <c r="F29" s="194">
        <v>1.7825</v>
      </c>
      <c r="G29" s="12">
        <v>1.495</v>
      </c>
      <c r="H29" s="12">
        <v>1.2075</v>
      </c>
      <c r="I29" s="212">
        <v>0.92</v>
      </c>
      <c r="J29" s="212">
        <v>0.6</v>
      </c>
      <c r="K29" s="212">
        <v>0.3</v>
      </c>
      <c r="L29" s="212">
        <v>0.1</v>
      </c>
      <c r="M29" s="26"/>
      <c r="N29" s="26"/>
      <c r="O29" s="26"/>
      <c r="P29" s="26"/>
      <c r="Q29" s="26"/>
      <c r="R29" s="26"/>
      <c r="S29" s="12"/>
      <c r="T29" s="12"/>
      <c r="U29" s="12"/>
      <c r="V29" s="12"/>
      <c r="X29" s="9"/>
      <c r="Y29" s="11"/>
    </row>
    <row r="30" spans="1:25" s="2" customFormat="1" ht="12.75">
      <c r="A30" s="29"/>
      <c r="B30" s="1" t="s">
        <v>79</v>
      </c>
      <c r="C30" s="140"/>
      <c r="D30" s="148"/>
      <c r="E30" s="148">
        <f>+Y68/4</f>
        <v>2.629</v>
      </c>
      <c r="F30" s="194">
        <f>+E30</f>
        <v>2.629</v>
      </c>
      <c r="G30" s="12">
        <f>+F30</f>
        <v>2.629</v>
      </c>
      <c r="H30" s="12">
        <f>+G30</f>
        <v>2.629</v>
      </c>
      <c r="I30" s="212">
        <v>2.6</v>
      </c>
      <c r="J30" s="212">
        <v>2.6</v>
      </c>
      <c r="K30" s="212">
        <v>2.6</v>
      </c>
      <c r="L30" s="212">
        <v>2.6</v>
      </c>
      <c r="M30" s="212">
        <v>2.6</v>
      </c>
      <c r="N30" s="212">
        <v>2.6</v>
      </c>
      <c r="O30" s="212">
        <v>2.6</v>
      </c>
      <c r="P30" s="212">
        <v>2.6</v>
      </c>
      <c r="Q30" s="212">
        <v>2.6</v>
      </c>
      <c r="R30" s="212">
        <v>2.6</v>
      </c>
      <c r="S30" s="212">
        <v>1.8</v>
      </c>
      <c r="T30" s="212">
        <v>0.9</v>
      </c>
      <c r="U30" s="12"/>
      <c r="V30" s="12"/>
      <c r="X30" s="9"/>
      <c r="Y30" s="11"/>
    </row>
    <row r="31" spans="1:25" s="2" customFormat="1" ht="12.75">
      <c r="A31" s="29"/>
      <c r="B31" s="1" t="s">
        <v>23</v>
      </c>
      <c r="C31" s="178"/>
      <c r="D31" s="148">
        <v>0</v>
      </c>
      <c r="E31" s="148">
        <v>0</v>
      </c>
      <c r="F31" s="19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29"/>
      <c r="B32" s="1" t="s">
        <v>32</v>
      </c>
      <c r="C32" s="140"/>
      <c r="D32" s="148">
        <f aca="true" t="shared" si="11" ref="D32:R32">+$Y71/4</f>
        <v>2.875</v>
      </c>
      <c r="E32" s="148">
        <f t="shared" si="11"/>
        <v>2.875</v>
      </c>
      <c r="F32" s="194">
        <f t="shared" si="11"/>
        <v>2.875</v>
      </c>
      <c r="G32" s="12">
        <f t="shared" si="11"/>
        <v>2.875</v>
      </c>
      <c r="H32" s="12">
        <f t="shared" si="11"/>
        <v>2.875</v>
      </c>
      <c r="I32" s="12">
        <f t="shared" si="11"/>
        <v>2.875</v>
      </c>
      <c r="J32" s="12">
        <f t="shared" si="11"/>
        <v>2.875</v>
      </c>
      <c r="K32" s="12">
        <f t="shared" si="11"/>
        <v>2.875</v>
      </c>
      <c r="L32" s="212">
        <f t="shared" si="11"/>
        <v>2.875</v>
      </c>
      <c r="M32" s="212">
        <f t="shared" si="11"/>
        <v>2.875</v>
      </c>
      <c r="N32" s="212">
        <f t="shared" si="11"/>
        <v>2.875</v>
      </c>
      <c r="O32" s="212">
        <f t="shared" si="11"/>
        <v>2.875</v>
      </c>
      <c r="P32" s="212">
        <f t="shared" si="11"/>
        <v>2.875</v>
      </c>
      <c r="Q32" s="212">
        <f t="shared" si="11"/>
        <v>2.875</v>
      </c>
      <c r="R32" s="212">
        <f t="shared" si="11"/>
        <v>2.875</v>
      </c>
      <c r="S32" s="212">
        <v>1.5</v>
      </c>
      <c r="T32" s="26"/>
      <c r="U32" s="26"/>
      <c r="V32" s="26"/>
      <c r="X32" s="9"/>
      <c r="Y32" s="11"/>
    </row>
    <row r="33" spans="1:25" s="2" customFormat="1" ht="12.75">
      <c r="A33" s="29"/>
      <c r="B33" s="1" t="s">
        <v>13</v>
      </c>
      <c r="C33" s="140"/>
      <c r="D33" s="148"/>
      <c r="E33" s="148"/>
      <c r="F33" s="194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29"/>
      <c r="B34" s="7" t="s">
        <v>25</v>
      </c>
      <c r="C34" s="140"/>
      <c r="D34" s="148">
        <f aca="true" t="shared" si="12" ref="D34:P41">+$Y73/4</f>
        <v>2.1125000000000003</v>
      </c>
      <c r="E34" s="148">
        <f t="shared" si="12"/>
        <v>2.1125000000000003</v>
      </c>
      <c r="F34" s="194">
        <f t="shared" si="12"/>
        <v>2.1125000000000003</v>
      </c>
      <c r="G34" s="12">
        <f t="shared" si="12"/>
        <v>2.1125000000000003</v>
      </c>
      <c r="H34" s="12">
        <f t="shared" si="12"/>
        <v>2.1125000000000003</v>
      </c>
      <c r="I34" s="12">
        <f t="shared" si="12"/>
        <v>2.1125000000000003</v>
      </c>
      <c r="J34" s="12">
        <f t="shared" si="12"/>
        <v>2.1125000000000003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29"/>
      <c r="B35" s="1" t="s">
        <v>24</v>
      </c>
      <c r="C35" s="140"/>
      <c r="D35" s="148">
        <f t="shared" si="12"/>
        <v>2.140625</v>
      </c>
      <c r="E35" s="148">
        <f t="shared" si="12"/>
        <v>2.140625</v>
      </c>
      <c r="F35" s="194">
        <f t="shared" si="12"/>
        <v>2.140625</v>
      </c>
      <c r="G35" s="12">
        <f t="shared" si="12"/>
        <v>2.140625</v>
      </c>
      <c r="H35" s="12">
        <f t="shared" si="12"/>
        <v>2.140625</v>
      </c>
      <c r="I35" s="12">
        <f t="shared" si="12"/>
        <v>2.140625</v>
      </c>
      <c r="J35" s="12">
        <f t="shared" si="12"/>
        <v>2.140625</v>
      </c>
      <c r="K35" s="12">
        <f t="shared" si="12"/>
        <v>2.140625</v>
      </c>
      <c r="L35" s="12">
        <f t="shared" si="12"/>
        <v>2.140625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29"/>
      <c r="B36" s="1" t="s">
        <v>26</v>
      </c>
      <c r="C36" s="140"/>
      <c r="D36" s="148">
        <f t="shared" si="12"/>
        <v>3.640125</v>
      </c>
      <c r="E36" s="148">
        <f t="shared" si="12"/>
        <v>3.640125</v>
      </c>
      <c r="F36" s="194">
        <f t="shared" si="12"/>
        <v>3.640125</v>
      </c>
      <c r="G36" s="12">
        <f t="shared" si="12"/>
        <v>3.640125</v>
      </c>
      <c r="H36" s="12">
        <f t="shared" si="12"/>
        <v>3.640125</v>
      </c>
      <c r="I36" s="12">
        <f t="shared" si="12"/>
        <v>3.640125</v>
      </c>
      <c r="J36" s="12">
        <f t="shared" si="12"/>
        <v>3.640125</v>
      </c>
      <c r="K36" s="12">
        <f t="shared" si="12"/>
        <v>3.640125</v>
      </c>
      <c r="L36" s="12">
        <f t="shared" si="12"/>
        <v>3.640125</v>
      </c>
      <c r="M36" s="12">
        <f t="shared" si="12"/>
        <v>3.640125</v>
      </c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29"/>
      <c r="B37" s="1" t="s">
        <v>27</v>
      </c>
      <c r="C37" s="140"/>
      <c r="D37" s="148">
        <f t="shared" si="12"/>
        <v>2.5185</v>
      </c>
      <c r="E37" s="148">
        <f t="shared" si="12"/>
        <v>2.5185</v>
      </c>
      <c r="F37" s="194">
        <f t="shared" si="12"/>
        <v>2.5185</v>
      </c>
      <c r="G37" s="12">
        <f t="shared" si="12"/>
        <v>2.5185</v>
      </c>
      <c r="H37" s="12">
        <f t="shared" si="12"/>
        <v>2.5185</v>
      </c>
      <c r="I37" s="12">
        <f t="shared" si="12"/>
        <v>2.5185</v>
      </c>
      <c r="J37" s="12">
        <f t="shared" si="12"/>
        <v>2.5185</v>
      </c>
      <c r="K37" s="12">
        <f t="shared" si="12"/>
        <v>2.5185</v>
      </c>
      <c r="L37" s="12">
        <f t="shared" si="12"/>
        <v>2.5185</v>
      </c>
      <c r="M37" s="12">
        <f t="shared" si="12"/>
        <v>2.5185</v>
      </c>
      <c r="N37" s="12">
        <f t="shared" si="12"/>
        <v>2.5185</v>
      </c>
      <c r="O37" s="12">
        <f t="shared" si="12"/>
        <v>2.5185</v>
      </c>
      <c r="P37" s="12">
        <f t="shared" si="12"/>
        <v>2.5185</v>
      </c>
      <c r="Q37" s="12">
        <v>1.5</v>
      </c>
      <c r="R37" s="12"/>
      <c r="S37" s="12"/>
      <c r="T37" s="12"/>
      <c r="U37" s="12"/>
      <c r="V37" s="12"/>
      <c r="X37" s="9"/>
      <c r="Y37" s="11"/>
    </row>
    <row r="38" spans="1:25" s="2" customFormat="1" ht="12.75">
      <c r="A38" s="29"/>
      <c r="B38" s="1" t="s">
        <v>28</v>
      </c>
      <c r="C38" s="140"/>
      <c r="D38" s="148">
        <f t="shared" si="12"/>
        <v>4.2</v>
      </c>
      <c r="E38" s="148">
        <f t="shared" si="12"/>
        <v>4.2</v>
      </c>
      <c r="F38" s="194">
        <f t="shared" si="12"/>
        <v>4.2</v>
      </c>
      <c r="G38" s="12">
        <f t="shared" si="12"/>
        <v>4.2</v>
      </c>
      <c r="H38" s="12">
        <f t="shared" si="12"/>
        <v>4.2</v>
      </c>
      <c r="I38" s="12">
        <f t="shared" si="12"/>
        <v>4.2</v>
      </c>
      <c r="J38" s="12">
        <f t="shared" si="12"/>
        <v>4.2</v>
      </c>
      <c r="K38" s="12">
        <f t="shared" si="12"/>
        <v>4.2</v>
      </c>
      <c r="L38" s="12">
        <f t="shared" si="12"/>
        <v>4.2</v>
      </c>
      <c r="M38" s="12">
        <f t="shared" si="12"/>
        <v>4.2</v>
      </c>
      <c r="N38" s="12">
        <f t="shared" si="12"/>
        <v>4.2</v>
      </c>
      <c r="O38" s="12">
        <f t="shared" si="12"/>
        <v>4.2</v>
      </c>
      <c r="P38" s="12">
        <f t="shared" si="12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29"/>
      <c r="B39" s="1" t="s">
        <v>29</v>
      </c>
      <c r="C39" s="140"/>
      <c r="D39" s="148">
        <f t="shared" si="12"/>
        <v>1.769625</v>
      </c>
      <c r="E39" s="148">
        <f t="shared" si="12"/>
        <v>1.769625</v>
      </c>
      <c r="F39" s="194">
        <f t="shared" si="12"/>
        <v>1.769625</v>
      </c>
      <c r="G39" s="12">
        <f t="shared" si="12"/>
        <v>1.769625</v>
      </c>
      <c r="H39" s="12">
        <f t="shared" si="12"/>
        <v>1.769625</v>
      </c>
      <c r="I39" s="12">
        <f t="shared" si="12"/>
        <v>1.769625</v>
      </c>
      <c r="J39" s="12">
        <f t="shared" si="12"/>
        <v>1.769625</v>
      </c>
      <c r="K39" s="12">
        <f t="shared" si="12"/>
        <v>1.769625</v>
      </c>
      <c r="L39" s="12">
        <f t="shared" si="12"/>
        <v>1.769625</v>
      </c>
      <c r="M39" s="12">
        <f t="shared" si="12"/>
        <v>1.769625</v>
      </c>
      <c r="N39" s="12">
        <f t="shared" si="12"/>
        <v>1.769625</v>
      </c>
      <c r="O39" s="12">
        <f t="shared" si="12"/>
        <v>1.769625</v>
      </c>
      <c r="P39" s="12">
        <f t="shared" si="12"/>
        <v>1.769625</v>
      </c>
      <c r="Q39" s="12">
        <f>+P39*4</f>
        <v>7.0785</v>
      </c>
      <c r="R39" s="12">
        <f aca="true" t="shared" si="13" ref="R39:T41">+Q39</f>
        <v>7.0785</v>
      </c>
      <c r="S39" s="12">
        <f t="shared" si="13"/>
        <v>7.0785</v>
      </c>
      <c r="T39" s="12">
        <f t="shared" si="13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29"/>
      <c r="B40" s="1" t="s">
        <v>30</v>
      </c>
      <c r="C40" s="140"/>
      <c r="D40" s="148">
        <f t="shared" si="12"/>
        <v>5.8125</v>
      </c>
      <c r="E40" s="148">
        <f t="shared" si="12"/>
        <v>5.8125</v>
      </c>
      <c r="F40" s="194">
        <f t="shared" si="12"/>
        <v>5.8125</v>
      </c>
      <c r="G40" s="12">
        <f t="shared" si="12"/>
        <v>5.8125</v>
      </c>
      <c r="H40" s="12">
        <f t="shared" si="12"/>
        <v>5.8125</v>
      </c>
      <c r="I40" s="12">
        <f t="shared" si="12"/>
        <v>5.8125</v>
      </c>
      <c r="J40" s="12">
        <f t="shared" si="12"/>
        <v>5.8125</v>
      </c>
      <c r="K40" s="12">
        <f t="shared" si="12"/>
        <v>5.8125</v>
      </c>
      <c r="L40" s="12">
        <f t="shared" si="12"/>
        <v>5.8125</v>
      </c>
      <c r="M40" s="12">
        <f t="shared" si="12"/>
        <v>5.8125</v>
      </c>
      <c r="N40" s="12">
        <f t="shared" si="12"/>
        <v>5.8125</v>
      </c>
      <c r="O40" s="12">
        <f t="shared" si="12"/>
        <v>5.8125</v>
      </c>
      <c r="P40" s="12">
        <f t="shared" si="12"/>
        <v>5.8125</v>
      </c>
      <c r="Q40" s="12">
        <f>+P40*4</f>
        <v>23.25</v>
      </c>
      <c r="R40" s="12">
        <f t="shared" si="13"/>
        <v>23.25</v>
      </c>
      <c r="S40" s="12">
        <f t="shared" si="13"/>
        <v>23.25</v>
      </c>
      <c r="T40" s="12">
        <f t="shared" si="13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29"/>
      <c r="B41" s="1" t="s">
        <v>31</v>
      </c>
      <c r="C41" s="140"/>
      <c r="D41" s="148">
        <f t="shared" si="12"/>
        <v>0.265625</v>
      </c>
      <c r="E41" s="148">
        <f t="shared" si="12"/>
        <v>0.265625</v>
      </c>
      <c r="F41" s="194">
        <f t="shared" si="12"/>
        <v>0.265625</v>
      </c>
      <c r="G41" s="12">
        <f t="shared" si="12"/>
        <v>0.265625</v>
      </c>
      <c r="H41" s="12">
        <f t="shared" si="12"/>
        <v>0.265625</v>
      </c>
      <c r="I41" s="12">
        <f t="shared" si="12"/>
        <v>0.265625</v>
      </c>
      <c r="J41" s="12">
        <f t="shared" si="12"/>
        <v>0.265625</v>
      </c>
      <c r="K41" s="12">
        <f t="shared" si="12"/>
        <v>0.265625</v>
      </c>
      <c r="L41" s="12">
        <f t="shared" si="12"/>
        <v>0.265625</v>
      </c>
      <c r="M41" s="12">
        <f t="shared" si="12"/>
        <v>0.265625</v>
      </c>
      <c r="N41" s="12">
        <f t="shared" si="12"/>
        <v>0.265625</v>
      </c>
      <c r="O41" s="12">
        <f t="shared" si="12"/>
        <v>0.265625</v>
      </c>
      <c r="P41" s="12">
        <f t="shared" si="12"/>
        <v>0.265625</v>
      </c>
      <c r="Q41" s="12">
        <f>+P41*4</f>
        <v>1.0625</v>
      </c>
      <c r="R41" s="12">
        <f t="shared" si="13"/>
        <v>1.0625</v>
      </c>
      <c r="S41" s="12">
        <f t="shared" si="13"/>
        <v>1.0625</v>
      </c>
      <c r="T41" s="12">
        <f t="shared" si="13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" customFormat="1" ht="12.75">
      <c r="A42" s="29"/>
      <c r="B42" s="18" t="s">
        <v>88</v>
      </c>
      <c r="C42" s="140"/>
      <c r="D42" s="148">
        <f>35.6-28.7</f>
        <v>6.900000000000002</v>
      </c>
      <c r="E42" s="148">
        <f>32.9-30</f>
        <v>2.8999999999999986</v>
      </c>
      <c r="F42" s="194">
        <v>-2.7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29"/>
      <c r="B43" s="18"/>
      <c r="C43" s="140"/>
      <c r="D43" s="148"/>
      <c r="E43" s="148"/>
      <c r="F43" s="19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29" t="s">
        <v>105</v>
      </c>
      <c r="B44" s="18" t="s">
        <v>101</v>
      </c>
      <c r="C44" s="140"/>
      <c r="D44" s="148"/>
      <c r="E44" s="148">
        <v>1.9</v>
      </c>
      <c r="F44" s="194">
        <f>7.4-E44</f>
        <v>5.5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X44" s="9"/>
      <c r="Y44" s="11"/>
    </row>
    <row r="45" spans="1:25" s="2" customFormat="1" ht="12.75">
      <c r="A45" s="29"/>
      <c r="B45" s="24"/>
      <c r="C45" s="140"/>
      <c r="D45" s="148"/>
      <c r="E45" s="148"/>
      <c r="F45" s="19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29"/>
      <c r="B46" s="24" t="s">
        <v>103</v>
      </c>
      <c r="C46" s="140"/>
      <c r="D46" s="148">
        <v>27.3</v>
      </c>
      <c r="E46" s="184">
        <v>29.8</v>
      </c>
      <c r="F46" s="194">
        <f>+(125-$E$46)/3</f>
        <v>31.733333333333334</v>
      </c>
      <c r="G46" s="12">
        <f aca="true" t="shared" si="14" ref="G46:P46">+F46</f>
        <v>31.733333333333334</v>
      </c>
      <c r="H46" s="12">
        <f t="shared" si="14"/>
        <v>31.733333333333334</v>
      </c>
      <c r="I46" s="12">
        <v>35</v>
      </c>
      <c r="J46" s="12">
        <f t="shared" si="14"/>
        <v>35</v>
      </c>
      <c r="K46" s="12">
        <f t="shared" si="14"/>
        <v>35</v>
      </c>
      <c r="L46" s="12">
        <f t="shared" si="14"/>
        <v>35</v>
      </c>
      <c r="M46" s="12">
        <f t="shared" si="14"/>
        <v>35</v>
      </c>
      <c r="N46" s="12">
        <f t="shared" si="14"/>
        <v>35</v>
      </c>
      <c r="O46" s="12">
        <f t="shared" si="14"/>
        <v>35</v>
      </c>
      <c r="P46" s="12">
        <f t="shared" si="14"/>
        <v>35</v>
      </c>
      <c r="Q46" s="12">
        <f>+P46*4</f>
        <v>140</v>
      </c>
      <c r="R46" s="12">
        <f>+Q46</f>
        <v>140</v>
      </c>
      <c r="S46" s="12">
        <f>+R46</f>
        <v>140</v>
      </c>
      <c r="T46" s="12">
        <f>+S46</f>
        <v>140</v>
      </c>
      <c r="U46" s="12">
        <f>+T46</f>
        <v>140</v>
      </c>
      <c r="V46" s="12">
        <f>+U46</f>
        <v>140</v>
      </c>
      <c r="X46" s="9"/>
      <c r="Y46" s="11"/>
    </row>
    <row r="47" spans="1:25" s="2" customFormat="1" ht="12.75">
      <c r="A47" s="29"/>
      <c r="C47" s="140"/>
      <c r="D47" s="148"/>
      <c r="E47" s="148"/>
      <c r="F47" s="19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X47" s="9"/>
      <c r="Y47" s="11"/>
    </row>
    <row r="48" spans="1:25" s="2" customFormat="1" ht="12.75">
      <c r="A48" s="29"/>
      <c r="B48" s="24" t="s">
        <v>66</v>
      </c>
      <c r="C48" s="140"/>
      <c r="D48" s="148">
        <v>14.7</v>
      </c>
      <c r="E48" s="148">
        <v>8.2</v>
      </c>
      <c r="F48" s="194">
        <f>16.9-E48</f>
        <v>8.7</v>
      </c>
      <c r="G48" s="12">
        <f aca="true" t="shared" si="15" ref="G48:P48">+F48</f>
        <v>8.7</v>
      </c>
      <c r="H48" s="12">
        <f t="shared" si="15"/>
        <v>8.7</v>
      </c>
      <c r="I48" s="12">
        <f t="shared" si="15"/>
        <v>8.7</v>
      </c>
      <c r="J48" s="12">
        <f t="shared" si="15"/>
        <v>8.7</v>
      </c>
      <c r="K48" s="12">
        <f t="shared" si="15"/>
        <v>8.7</v>
      </c>
      <c r="L48" s="12">
        <f t="shared" si="15"/>
        <v>8.7</v>
      </c>
      <c r="M48" s="12">
        <f t="shared" si="15"/>
        <v>8.7</v>
      </c>
      <c r="N48" s="12">
        <f t="shared" si="15"/>
        <v>8.7</v>
      </c>
      <c r="O48" s="12">
        <f t="shared" si="15"/>
        <v>8.7</v>
      </c>
      <c r="P48" s="12">
        <f t="shared" si="15"/>
        <v>8.7</v>
      </c>
      <c r="Q48" s="12">
        <f>+P48*4</f>
        <v>34.8</v>
      </c>
      <c r="R48" s="12">
        <f>+Q48</f>
        <v>34.8</v>
      </c>
      <c r="S48" s="12">
        <f>+R48</f>
        <v>34.8</v>
      </c>
      <c r="T48" s="12">
        <f>+S48</f>
        <v>34.8</v>
      </c>
      <c r="U48" s="12">
        <f>+T48</f>
        <v>34.8</v>
      </c>
      <c r="V48" s="12">
        <f>+U48</f>
        <v>34.8</v>
      </c>
      <c r="X48" s="9"/>
      <c r="Y48" s="11"/>
    </row>
    <row r="49" spans="1:25" s="2" customFormat="1" ht="12.75">
      <c r="A49" s="29" t="s">
        <v>105</v>
      </c>
      <c r="B49" s="24" t="s">
        <v>102</v>
      </c>
      <c r="C49" s="140"/>
      <c r="D49" s="148">
        <v>0</v>
      </c>
      <c r="E49" s="148">
        <v>13.036</v>
      </c>
      <c r="F49" s="194">
        <v>0</v>
      </c>
      <c r="G49" s="12">
        <v>0</v>
      </c>
      <c r="H49" s="12">
        <v>0</v>
      </c>
      <c r="I49" s="26">
        <v>13</v>
      </c>
      <c r="J49" s="12">
        <v>0</v>
      </c>
      <c r="K49" s="12">
        <v>0</v>
      </c>
      <c r="L49" s="12">
        <v>0</v>
      </c>
      <c r="M49" s="26">
        <v>13</v>
      </c>
      <c r="N49" s="12">
        <v>0</v>
      </c>
      <c r="O49" s="12">
        <v>0</v>
      </c>
      <c r="P49" s="12">
        <v>0</v>
      </c>
      <c r="Q49" s="26">
        <v>13</v>
      </c>
      <c r="R49" s="26">
        <v>13</v>
      </c>
      <c r="S49" s="12">
        <v>0</v>
      </c>
      <c r="T49" s="12">
        <v>0</v>
      </c>
      <c r="U49" s="12">
        <v>0</v>
      </c>
      <c r="V49" s="12">
        <v>0</v>
      </c>
      <c r="X49" s="9"/>
      <c r="Y49" s="11"/>
    </row>
    <row r="50" spans="1:25" s="2" customFormat="1" ht="12.75">
      <c r="A50" s="29" t="s">
        <v>105</v>
      </c>
      <c r="B50" s="24" t="s">
        <v>104</v>
      </c>
      <c r="C50" s="140"/>
      <c r="D50" s="148"/>
      <c r="E50" s="148">
        <f>42.736+(315.3-310.1)</f>
        <v>47.935999999999986</v>
      </c>
      <c r="F50" s="194">
        <f>30.4-E50-0.7</f>
        <v>-18.235999999999986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X50" s="9"/>
      <c r="Y50" s="11"/>
    </row>
    <row r="51" spans="1:25" s="2" customFormat="1" ht="12.75">
      <c r="A51" s="29"/>
      <c r="C51" s="140"/>
      <c r="D51" s="148"/>
      <c r="E51" s="148"/>
      <c r="F51" s="19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X51" s="9"/>
      <c r="Y51" s="11"/>
    </row>
    <row r="52" spans="1:25" s="2" customFormat="1" ht="12.75">
      <c r="A52" s="29"/>
      <c r="B52" s="24" t="s">
        <v>89</v>
      </c>
      <c r="C52" s="140"/>
      <c r="D52" s="148">
        <v>2.9</v>
      </c>
      <c r="E52" s="148">
        <v>0</v>
      </c>
      <c r="F52" s="19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X52" s="9"/>
      <c r="Y52" s="11"/>
    </row>
    <row r="53" spans="1:25" s="2" customFormat="1" ht="12.75">
      <c r="A53" s="29"/>
      <c r="B53" s="2" t="s">
        <v>90</v>
      </c>
      <c r="C53" s="140"/>
      <c r="D53" s="148">
        <v>0.5</v>
      </c>
      <c r="E53" s="148"/>
      <c r="F53" s="19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X53" s="9"/>
      <c r="Y53" s="11"/>
    </row>
    <row r="54" spans="1:25" s="2" customFormat="1" ht="12.75">
      <c r="A54" s="29"/>
      <c r="B54" s="24" t="s">
        <v>17</v>
      </c>
      <c r="C54" s="141" t="s">
        <v>94</v>
      </c>
      <c r="D54" s="148">
        <v>10</v>
      </c>
      <c r="E54" s="148">
        <v>0</v>
      </c>
      <c r="F54" s="194">
        <v>0</v>
      </c>
      <c r="G54" s="212">
        <v>30</v>
      </c>
      <c r="H54" s="212">
        <v>5.6</v>
      </c>
      <c r="I54" s="212">
        <v>5.6</v>
      </c>
      <c r="J54" s="212">
        <f aca="true" t="shared" si="16" ref="J54:P54">+I54</f>
        <v>5.6</v>
      </c>
      <c r="K54" s="212">
        <f t="shared" si="16"/>
        <v>5.6</v>
      </c>
      <c r="L54" s="212">
        <f t="shared" si="16"/>
        <v>5.6</v>
      </c>
      <c r="M54" s="212">
        <f t="shared" si="16"/>
        <v>5.6</v>
      </c>
      <c r="N54" s="212">
        <f t="shared" si="16"/>
        <v>5.6</v>
      </c>
      <c r="O54" s="212">
        <f t="shared" si="16"/>
        <v>5.6</v>
      </c>
      <c r="P54" s="212">
        <f t="shared" si="16"/>
        <v>5.6</v>
      </c>
      <c r="Q54" s="212">
        <f>+P54*4</f>
        <v>22.4</v>
      </c>
      <c r="R54" s="212">
        <f>+Q54</f>
        <v>22.4</v>
      </c>
      <c r="S54" s="212">
        <f>+R54</f>
        <v>22.4</v>
      </c>
      <c r="T54" s="212">
        <f>+S54</f>
        <v>22.4</v>
      </c>
      <c r="U54" s="212">
        <f>+T54</f>
        <v>22.4</v>
      </c>
      <c r="V54" s="212">
        <f>+U54</f>
        <v>22.4</v>
      </c>
      <c r="X54" s="9"/>
      <c r="Y54" s="11"/>
    </row>
    <row r="55" spans="1:25" s="2" customFormat="1" ht="12.75">
      <c r="A55" s="29"/>
      <c r="C55" s="141"/>
      <c r="D55" s="148"/>
      <c r="E55" s="148"/>
      <c r="F55" s="20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X55" s="9"/>
      <c r="Y55" s="11"/>
    </row>
    <row r="56" spans="1:25" s="25" customFormat="1" ht="12.75">
      <c r="A56" s="30" t="s">
        <v>37</v>
      </c>
      <c r="B56" s="24" t="s">
        <v>19</v>
      </c>
      <c r="C56" s="142"/>
      <c r="D56" s="36">
        <f>SUM(D28:D55)</f>
        <v>90.9595</v>
      </c>
      <c r="E56" s="36">
        <f>SUM(E28:E55)</f>
        <v>133.8055</v>
      </c>
      <c r="F56" s="199">
        <f aca="true" t="shared" si="17" ref="F56:R56">SUM(F28:F55)</f>
        <v>54.743333333333354</v>
      </c>
      <c r="G56" s="26">
        <f t="shared" si="17"/>
        <v>99.89183333333334</v>
      </c>
      <c r="H56" s="26">
        <f t="shared" si="17"/>
        <v>75.20433333333332</v>
      </c>
      <c r="I56" s="26">
        <f t="shared" si="17"/>
        <v>91.1545</v>
      </c>
      <c r="J56" s="26">
        <f t="shared" si="17"/>
        <v>77.83449999999999</v>
      </c>
      <c r="K56" s="26">
        <f t="shared" si="17"/>
        <v>75.422</v>
      </c>
      <c r="L56" s="26">
        <f t="shared" si="17"/>
        <v>75.222</v>
      </c>
      <c r="M56" s="26">
        <f t="shared" si="17"/>
        <v>85.981375</v>
      </c>
      <c r="N56" s="26">
        <f t="shared" si="17"/>
        <v>69.34124999999999</v>
      </c>
      <c r="O56" s="26">
        <f t="shared" si="17"/>
        <v>69.34124999999999</v>
      </c>
      <c r="P56" s="26">
        <f t="shared" si="17"/>
        <v>69.34124999999999</v>
      </c>
      <c r="Q56" s="26">
        <f t="shared" si="17"/>
        <v>265.366</v>
      </c>
      <c r="R56" s="26">
        <f t="shared" si="17"/>
        <v>249.866</v>
      </c>
      <c r="S56" s="26">
        <f>SUM(S28:S55)</f>
        <v>231.891</v>
      </c>
      <c r="T56" s="26">
        <f>SUM(T28:T55)</f>
        <v>229.491</v>
      </c>
      <c r="U56" s="26">
        <f>SUM(U28:U55)</f>
        <v>227.88315000000003</v>
      </c>
      <c r="V56" s="26">
        <f>SUM(V28:V55)</f>
        <v>204.07500000000002</v>
      </c>
      <c r="X56" s="27"/>
      <c r="Y56" s="28"/>
    </row>
    <row r="57" spans="1:25" s="25" customFormat="1" ht="12.75">
      <c r="A57" s="30"/>
      <c r="B57" s="24"/>
      <c r="C57" s="142"/>
      <c r="D57" s="36"/>
      <c r="E57" s="36"/>
      <c r="F57" s="199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X57" s="27"/>
      <c r="Y57" s="28"/>
    </row>
    <row r="58" spans="1:25" s="25" customFormat="1" ht="12.75">
      <c r="A58" s="30"/>
      <c r="B58" s="3" t="s">
        <v>33</v>
      </c>
      <c r="C58" s="136"/>
      <c r="D58" s="148">
        <v>52</v>
      </c>
      <c r="E58" s="36"/>
      <c r="F58" s="199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X58" s="27"/>
      <c r="Y58" s="28"/>
    </row>
    <row r="59" spans="1:25" s="2" customFormat="1" ht="12.75">
      <c r="A59" s="29"/>
      <c r="B59" s="3" t="s">
        <v>51</v>
      </c>
      <c r="C59" s="136"/>
      <c r="D59" s="148">
        <v>72</v>
      </c>
      <c r="E59" s="148"/>
      <c r="F59" s="20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X59" s="9"/>
      <c r="Y59" s="11"/>
    </row>
    <row r="60" spans="1:25" s="25" customFormat="1" ht="13.5" thickBot="1">
      <c r="A60" s="30" t="s">
        <v>38</v>
      </c>
      <c r="B60" s="24" t="s">
        <v>40</v>
      </c>
      <c r="C60" s="143" t="s">
        <v>41</v>
      </c>
      <c r="D60" s="31">
        <f>+D23-D56+D59+D58</f>
        <v>180.15050000000002</v>
      </c>
      <c r="E60" s="31">
        <f aca="true" t="shared" si="18" ref="E60:V60">+E23-E56</f>
        <v>12.194500000000005</v>
      </c>
      <c r="F60" s="203">
        <f t="shared" si="18"/>
        <v>90.45666666666664</v>
      </c>
      <c r="G60" s="31">
        <f t="shared" si="18"/>
        <v>39.332202666666674</v>
      </c>
      <c r="H60" s="31">
        <f t="shared" si="18"/>
        <v>59.43423750866668</v>
      </c>
      <c r="I60" s="31">
        <f t="shared" si="18"/>
        <v>40.054572547577024</v>
      </c>
      <c r="J60" s="31">
        <f t="shared" si="18"/>
        <v>49.33018610371522</v>
      </c>
      <c r="K60" s="31">
        <f t="shared" si="18"/>
        <v>47.96980826765406</v>
      </c>
      <c r="L60" s="31">
        <f t="shared" si="18"/>
        <v>45.40737003403105</v>
      </c>
      <c r="M60" s="31">
        <f t="shared" si="18"/>
        <v>32.067107112615886</v>
      </c>
      <c r="N60" s="31">
        <f t="shared" si="18"/>
        <v>46.30125635784488</v>
      </c>
      <c r="O60" s="31">
        <f t="shared" si="18"/>
        <v>44.06387707909289</v>
      </c>
      <c r="P60" s="31">
        <f t="shared" si="18"/>
        <v>41.989087536128366</v>
      </c>
      <c r="Q60" s="133">
        <f t="shared" si="18"/>
        <v>179.95535014451343</v>
      </c>
      <c r="R60" s="133">
        <f t="shared" si="18"/>
        <v>182.4428503525896</v>
      </c>
      <c r="S60" s="133">
        <f t="shared" si="18"/>
        <v>208.73159710001093</v>
      </c>
      <c r="T60" s="133">
        <f t="shared" si="18"/>
        <v>236.52152848507612</v>
      </c>
      <c r="U60" s="133">
        <f t="shared" si="18"/>
        <v>279.0300438046328</v>
      </c>
      <c r="V60" s="133">
        <f t="shared" si="18"/>
        <v>349.87395892212294</v>
      </c>
      <c r="X60" s="27"/>
      <c r="Y60" s="28"/>
    </row>
    <row r="61" spans="1:25" s="25" customFormat="1" ht="13.5" thickTop="1">
      <c r="A61" s="30"/>
      <c r="B61" s="24"/>
      <c r="C61" s="143"/>
      <c r="D61" s="36"/>
      <c r="E61" s="36"/>
      <c r="F61" s="199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X61" s="27"/>
      <c r="Y61" s="28"/>
    </row>
    <row r="62" spans="1:25" s="25" customFormat="1" ht="18">
      <c r="A62" s="30"/>
      <c r="B62" s="24"/>
      <c r="C62" s="143"/>
      <c r="D62" s="36"/>
      <c r="E62" s="36"/>
      <c r="F62" s="199"/>
      <c r="G62" s="226" t="s">
        <v>115</v>
      </c>
      <c r="H62" s="36"/>
      <c r="I62" s="36"/>
      <c r="J62" s="180" t="s">
        <v>116</v>
      </c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X62" s="27"/>
      <c r="Y62" s="28"/>
    </row>
    <row r="63" spans="1:25" s="25" customFormat="1" ht="18">
      <c r="A63" s="30"/>
      <c r="B63" s="24"/>
      <c r="C63" s="143"/>
      <c r="D63" s="36"/>
      <c r="E63" s="36"/>
      <c r="F63" s="199"/>
      <c r="G63" s="180"/>
      <c r="H63" s="36"/>
      <c r="I63" s="36"/>
      <c r="J63" s="180" t="s">
        <v>118</v>
      </c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X63" s="27"/>
      <c r="Y63" s="28"/>
    </row>
    <row r="64" spans="1:25" s="25" customFormat="1" ht="18">
      <c r="A64" s="30"/>
      <c r="B64" s="24"/>
      <c r="C64" s="143"/>
      <c r="D64" s="36"/>
      <c r="E64" s="36"/>
      <c r="F64" s="199"/>
      <c r="G64" s="36"/>
      <c r="H64" s="36"/>
      <c r="I64" s="36"/>
      <c r="J64" s="180" t="s">
        <v>117</v>
      </c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X64" s="27"/>
      <c r="Y64" s="28"/>
    </row>
    <row r="65" spans="1:25" s="2" customFormat="1" ht="12.75">
      <c r="A65" s="29"/>
      <c r="B65" s="3"/>
      <c r="C65" s="136"/>
      <c r="D65" s="148"/>
      <c r="E65" s="148"/>
      <c r="F65" s="19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X65" s="37" t="s">
        <v>52</v>
      </c>
      <c r="Y65" s="38" t="s">
        <v>46</v>
      </c>
    </row>
    <row r="66" spans="2:25" ht="12.75">
      <c r="B66" s="49" t="s">
        <v>20</v>
      </c>
      <c r="C66" s="4"/>
      <c r="D66" s="149"/>
      <c r="E66" s="185"/>
      <c r="F66" s="20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X66" s="39" t="s">
        <v>20</v>
      </c>
      <c r="Y66" s="40" t="s">
        <v>45</v>
      </c>
    </row>
    <row r="67" spans="1:25" ht="15">
      <c r="A67" s="16" t="s">
        <v>39</v>
      </c>
      <c r="B67" s="1" t="s">
        <v>76</v>
      </c>
      <c r="C67" s="144">
        <v>250</v>
      </c>
      <c r="D67" s="149">
        <v>45</v>
      </c>
      <c r="E67" s="185">
        <v>25</v>
      </c>
      <c r="F67" s="204">
        <v>25</v>
      </c>
      <c r="G67" s="14">
        <v>25</v>
      </c>
      <c r="H67" s="14">
        <v>25</v>
      </c>
      <c r="I67" s="217">
        <v>25</v>
      </c>
      <c r="J67" s="217">
        <v>25</v>
      </c>
      <c r="K67" s="217">
        <v>25</v>
      </c>
      <c r="L67" s="217">
        <v>25</v>
      </c>
      <c r="M67" s="217">
        <v>5</v>
      </c>
      <c r="N67" s="218"/>
      <c r="O67" s="219"/>
      <c r="P67" s="220"/>
      <c r="Q67" s="220"/>
      <c r="R67" s="220"/>
      <c r="S67" s="220"/>
      <c r="T67" s="14"/>
      <c r="U67" s="14"/>
      <c r="V67" s="14"/>
      <c r="X67" s="10">
        <f>+C67-D67-E67</f>
        <v>180</v>
      </c>
      <c r="Y67" s="5">
        <f>+X67*0.044</f>
        <v>7.92</v>
      </c>
    </row>
    <row r="68" spans="1:25" ht="18">
      <c r="A68" s="16" t="s">
        <v>39</v>
      </c>
      <c r="B68" s="1" t="s">
        <v>77</v>
      </c>
      <c r="C68" s="144">
        <v>16</v>
      </c>
      <c r="D68" s="149">
        <v>16</v>
      </c>
      <c r="E68" s="186">
        <v>-239</v>
      </c>
      <c r="F68" s="204"/>
      <c r="G68" s="14"/>
      <c r="H68" s="14"/>
      <c r="I68" s="217">
        <v>0</v>
      </c>
      <c r="J68" s="217">
        <v>0</v>
      </c>
      <c r="K68" s="217">
        <v>0</v>
      </c>
      <c r="L68" s="217">
        <v>0</v>
      </c>
      <c r="M68" s="217">
        <v>0</v>
      </c>
      <c r="N68" s="217">
        <v>0</v>
      </c>
      <c r="O68" s="217">
        <v>0</v>
      </c>
      <c r="P68" s="217">
        <v>0</v>
      </c>
      <c r="Q68" s="217">
        <v>0</v>
      </c>
      <c r="R68" s="217">
        <v>0</v>
      </c>
      <c r="S68" s="224">
        <v>100</v>
      </c>
      <c r="T68" s="224">
        <v>139</v>
      </c>
      <c r="U68" s="14"/>
      <c r="V68" s="14"/>
      <c r="X68" s="10">
        <v>239</v>
      </c>
      <c r="Y68" s="5">
        <f>+X68*0.044</f>
        <v>10.516</v>
      </c>
    </row>
    <row r="69" spans="1:24" ht="12.75">
      <c r="A69" s="16" t="s">
        <v>39</v>
      </c>
      <c r="B69" s="1" t="s">
        <v>23</v>
      </c>
      <c r="C69" s="144">
        <v>35</v>
      </c>
      <c r="D69" s="149">
        <v>35</v>
      </c>
      <c r="E69" s="185"/>
      <c r="F69" s="20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f>+C69-D69</f>
        <v>0</v>
      </c>
    </row>
    <row r="70" spans="1:22" ht="12.75">
      <c r="A70" s="16"/>
      <c r="B70" s="1" t="s">
        <v>100</v>
      </c>
      <c r="C70" s="144"/>
      <c r="D70" s="149"/>
      <c r="E70" s="185">
        <v>0.3</v>
      </c>
      <c r="F70" s="20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5" ht="12.75">
      <c r="A71" s="16" t="s">
        <v>39</v>
      </c>
      <c r="B71" s="93" t="s">
        <v>32</v>
      </c>
      <c r="C71" s="145">
        <f>+X71</f>
        <v>184</v>
      </c>
      <c r="D71" s="149"/>
      <c r="E71" s="185"/>
      <c r="F71" s="20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>
        <v>184</v>
      </c>
      <c r="T71" s="14"/>
      <c r="U71" s="14"/>
      <c r="V71" s="14"/>
      <c r="X71" s="10">
        <f aca="true" t="shared" si="19" ref="X71:X80">SUM(D71:W71)</f>
        <v>184</v>
      </c>
      <c r="Y71" s="5">
        <f>+X71*0.0625</f>
        <v>11.5</v>
      </c>
    </row>
    <row r="72" spans="1:22" ht="12.75">
      <c r="A72" s="16" t="s">
        <v>39</v>
      </c>
      <c r="B72" s="18" t="s">
        <v>13</v>
      </c>
      <c r="C72" s="144"/>
      <c r="D72" s="149"/>
      <c r="E72" s="185"/>
      <c r="F72" s="20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5" ht="12.75">
      <c r="A73" s="16" t="s">
        <v>39</v>
      </c>
      <c r="B73" s="7" t="s">
        <v>25</v>
      </c>
      <c r="C73" s="145">
        <v>130</v>
      </c>
      <c r="D73" s="149"/>
      <c r="E73" s="185"/>
      <c r="F73" s="204"/>
      <c r="G73" s="14"/>
      <c r="H73" s="14"/>
      <c r="I73" s="14"/>
      <c r="J73" s="14"/>
      <c r="K73" s="14">
        <v>130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X73" s="10">
        <f t="shared" si="19"/>
        <v>130</v>
      </c>
      <c r="Y73" s="5">
        <f>+X73*0.065</f>
        <v>8.450000000000001</v>
      </c>
    </row>
    <row r="74" spans="1:25" ht="12.75">
      <c r="A74" s="16" t="s">
        <v>39</v>
      </c>
      <c r="B74" s="1" t="s">
        <v>24</v>
      </c>
      <c r="C74" s="145">
        <v>125</v>
      </c>
      <c r="D74" s="149"/>
      <c r="E74" s="185"/>
      <c r="F74" s="204"/>
      <c r="G74" s="14"/>
      <c r="H74" s="14"/>
      <c r="I74" s="14"/>
      <c r="J74" s="14"/>
      <c r="K74" s="14"/>
      <c r="L74" s="14">
        <v>125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X74" s="10">
        <f t="shared" si="19"/>
        <v>125</v>
      </c>
      <c r="Y74" s="5">
        <f>+X74*0.0685</f>
        <v>8.5625</v>
      </c>
    </row>
    <row r="75" spans="1:25" ht="12.75">
      <c r="A75" s="16" t="s">
        <v>39</v>
      </c>
      <c r="B75" s="1" t="s">
        <v>26</v>
      </c>
      <c r="C75" s="145">
        <v>255</v>
      </c>
      <c r="D75" s="149"/>
      <c r="E75" s="185"/>
      <c r="F75" s="204"/>
      <c r="G75" s="14"/>
      <c r="H75" s="14"/>
      <c r="I75" s="14"/>
      <c r="J75" s="14"/>
      <c r="K75" s="14"/>
      <c r="L75" s="14"/>
      <c r="M75" s="14"/>
      <c r="N75" s="14">
        <v>255</v>
      </c>
      <c r="O75" s="14"/>
      <c r="P75" s="14"/>
      <c r="Q75" s="14"/>
      <c r="R75" s="14"/>
      <c r="S75" s="14"/>
      <c r="T75" s="14"/>
      <c r="U75" s="14"/>
      <c r="V75" s="14"/>
      <c r="X75" s="10">
        <f t="shared" si="19"/>
        <v>255</v>
      </c>
      <c r="Y75" s="5">
        <f>+X75*0.0571</f>
        <v>14.5605</v>
      </c>
    </row>
    <row r="76" spans="1:25" ht="12.75">
      <c r="A76" s="16" t="s">
        <v>39</v>
      </c>
      <c r="B76" s="1" t="s">
        <v>27</v>
      </c>
      <c r="C76" s="145">
        <v>138</v>
      </c>
      <c r="D76" s="149"/>
      <c r="E76" s="185"/>
      <c r="F76" s="20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v>138</v>
      </c>
      <c r="R76" s="14"/>
      <c r="S76" s="14"/>
      <c r="T76" s="14"/>
      <c r="U76" s="14"/>
      <c r="V76" s="14"/>
      <c r="X76" s="10">
        <f t="shared" si="19"/>
        <v>138</v>
      </c>
      <c r="Y76" s="5">
        <f>+X76*0.073</f>
        <v>10.074</v>
      </c>
    </row>
    <row r="77" spans="1:25" ht="12.75">
      <c r="A77" s="16" t="s">
        <v>39</v>
      </c>
      <c r="B77" s="1" t="s">
        <v>28</v>
      </c>
      <c r="C77" s="145">
        <v>320</v>
      </c>
      <c r="D77" s="149"/>
      <c r="E77" s="185"/>
      <c r="F77" s="20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>
        <v>320</v>
      </c>
      <c r="S77" s="14"/>
      <c r="T77" s="14"/>
      <c r="U77" s="14"/>
      <c r="V77" s="14"/>
      <c r="X77" s="10">
        <f t="shared" si="19"/>
        <v>320</v>
      </c>
      <c r="Y77" s="5">
        <f>+X77*0.0525</f>
        <v>16.8</v>
      </c>
    </row>
    <row r="78" spans="1:25" ht="12.75">
      <c r="A78" s="16" t="s">
        <v>39</v>
      </c>
      <c r="B78" s="1" t="s">
        <v>29</v>
      </c>
      <c r="C78" s="145">
        <v>121</v>
      </c>
      <c r="D78" s="149"/>
      <c r="E78" s="185"/>
      <c r="F78" s="20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121</v>
      </c>
      <c r="V78" s="14"/>
      <c r="X78" s="10">
        <f t="shared" si="19"/>
        <v>121</v>
      </c>
      <c r="Y78" s="5">
        <f>+X78*0.0585</f>
        <v>7.0785</v>
      </c>
    </row>
    <row r="79" spans="1:25" ht="12.75">
      <c r="A79" s="16" t="s">
        <v>39</v>
      </c>
      <c r="B79" s="1" t="s">
        <v>30</v>
      </c>
      <c r="C79" s="145">
        <v>300</v>
      </c>
      <c r="D79" s="149"/>
      <c r="E79" s="185"/>
      <c r="F79" s="20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v>300</v>
      </c>
      <c r="X79" s="10">
        <f t="shared" si="19"/>
        <v>300</v>
      </c>
      <c r="Y79" s="5">
        <f>+X79*0.0775</f>
        <v>23.25</v>
      </c>
    </row>
    <row r="80" spans="1:25" ht="12.75">
      <c r="A80" s="16" t="s">
        <v>39</v>
      </c>
      <c r="B80" s="1" t="s">
        <v>31</v>
      </c>
      <c r="C80" s="145">
        <v>17</v>
      </c>
      <c r="D80" s="149"/>
      <c r="E80" s="185"/>
      <c r="F80" s="20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v>17</v>
      </c>
      <c r="X80" s="10">
        <f t="shared" si="19"/>
        <v>17</v>
      </c>
      <c r="Y80" s="5">
        <f>+X80*0.0625</f>
        <v>1.0625</v>
      </c>
    </row>
    <row r="81" spans="2:22" ht="12.75">
      <c r="B81" s="18" t="s">
        <v>65</v>
      </c>
      <c r="C81" s="33">
        <f>SUM(C67:C80)</f>
        <v>1891</v>
      </c>
      <c r="D81" s="149"/>
      <c r="E81" s="185"/>
      <c r="F81" s="20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5" s="15" customFormat="1" ht="13.5" thickBot="1">
      <c r="A82" s="16" t="s">
        <v>42</v>
      </c>
      <c r="B82" s="15" t="s">
        <v>50</v>
      </c>
      <c r="C82" s="146" t="s">
        <v>48</v>
      </c>
      <c r="D82" s="109">
        <f aca="true" t="shared" si="20" ref="D82:V82">-SUM(D65:D81)+D60</f>
        <v>84.15050000000002</v>
      </c>
      <c r="E82" s="187">
        <f t="shared" si="20"/>
        <v>225.8945</v>
      </c>
      <c r="F82" s="205">
        <f t="shared" si="20"/>
        <v>65.45666666666664</v>
      </c>
      <c r="G82" s="109">
        <f t="shared" si="20"/>
        <v>14.332202666666674</v>
      </c>
      <c r="H82" s="109">
        <f t="shared" si="20"/>
        <v>34.43423750866668</v>
      </c>
      <c r="I82" s="109">
        <f t="shared" si="20"/>
        <v>15.054572547577024</v>
      </c>
      <c r="J82" s="109">
        <f t="shared" si="20"/>
        <v>24.33018610371522</v>
      </c>
      <c r="K82" s="109">
        <f t="shared" si="20"/>
        <v>-107.03019173234594</v>
      </c>
      <c r="L82" s="109">
        <f t="shared" si="20"/>
        <v>-104.59262996596895</v>
      </c>
      <c r="M82" s="109">
        <f t="shared" si="20"/>
        <v>27.067107112615886</v>
      </c>
      <c r="N82" s="109">
        <f t="shared" si="20"/>
        <v>-208.69874364215514</v>
      </c>
      <c r="O82" s="109">
        <f t="shared" si="20"/>
        <v>44.06387707909289</v>
      </c>
      <c r="P82" s="109">
        <f t="shared" si="20"/>
        <v>41.989087536128366</v>
      </c>
      <c r="Q82" s="109">
        <f t="shared" si="20"/>
        <v>41.95535014451343</v>
      </c>
      <c r="R82" s="109">
        <f t="shared" si="20"/>
        <v>-137.5571496474104</v>
      </c>
      <c r="S82" s="109">
        <f t="shared" si="20"/>
        <v>-75.26840289998907</v>
      </c>
      <c r="T82" s="109">
        <f t="shared" si="20"/>
        <v>97.52152848507612</v>
      </c>
      <c r="U82" s="109">
        <f t="shared" si="20"/>
        <v>158.03004380463278</v>
      </c>
      <c r="V82" s="109">
        <f t="shared" si="20"/>
        <v>32.87395892212294</v>
      </c>
      <c r="W82" s="33"/>
      <c r="X82" s="52">
        <f>SUM(X65:X81)</f>
        <v>2009</v>
      </c>
      <c r="Y82" s="52">
        <f>SUM(Y65:Y81)</f>
        <v>119.774</v>
      </c>
    </row>
    <row r="83" spans="3:23" ht="14.25" thickBot="1" thickTop="1">
      <c r="C83" s="4"/>
      <c r="D83" s="149"/>
      <c r="E83" s="185"/>
      <c r="F83" s="20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4"/>
    </row>
    <row r="84" spans="1:25" s="15" customFormat="1" ht="13.5" thickBot="1">
      <c r="A84" s="106" t="s">
        <v>49</v>
      </c>
      <c r="B84" s="107" t="s">
        <v>21</v>
      </c>
      <c r="C84" s="147"/>
      <c r="D84" s="131">
        <f>+D82</f>
        <v>84.15050000000002</v>
      </c>
      <c r="E84" s="131">
        <f aca="true" t="shared" si="21" ref="E84:V84">+D84+E82</f>
        <v>310.045</v>
      </c>
      <c r="F84" s="206">
        <f t="shared" si="21"/>
        <v>375.50166666666667</v>
      </c>
      <c r="G84" s="111">
        <f t="shared" si="21"/>
        <v>389.8338693333333</v>
      </c>
      <c r="H84" s="111">
        <f t="shared" si="21"/>
        <v>424.268106842</v>
      </c>
      <c r="I84" s="111">
        <f t="shared" si="21"/>
        <v>439.32267938957705</v>
      </c>
      <c r="J84" s="111">
        <f t="shared" si="21"/>
        <v>463.65286549329227</v>
      </c>
      <c r="K84" s="111">
        <f t="shared" si="21"/>
        <v>356.6226737609463</v>
      </c>
      <c r="L84" s="112">
        <f t="shared" si="21"/>
        <v>252.03004379497736</v>
      </c>
      <c r="M84" s="111">
        <f t="shared" si="21"/>
        <v>279.09715090759323</v>
      </c>
      <c r="N84" s="112">
        <f t="shared" si="21"/>
        <v>70.3984072654381</v>
      </c>
      <c r="O84" s="111">
        <f t="shared" si="21"/>
        <v>114.46228434453099</v>
      </c>
      <c r="P84" s="111">
        <f t="shared" si="21"/>
        <v>156.45137188065934</v>
      </c>
      <c r="Q84" s="111">
        <f t="shared" si="21"/>
        <v>198.40672202517277</v>
      </c>
      <c r="R84" s="112">
        <f t="shared" si="21"/>
        <v>60.84957237776237</v>
      </c>
      <c r="S84" s="131">
        <f t="shared" si="21"/>
        <v>-14.418830522226699</v>
      </c>
      <c r="T84" s="131">
        <f t="shared" si="21"/>
        <v>83.10269796284942</v>
      </c>
      <c r="U84" s="131">
        <f t="shared" si="21"/>
        <v>241.1327417674822</v>
      </c>
      <c r="V84" s="131">
        <f t="shared" si="21"/>
        <v>274.00670068960517</v>
      </c>
      <c r="W84" s="33"/>
      <c r="X84" s="35"/>
      <c r="Y84" s="17"/>
    </row>
    <row r="85" spans="1:25" s="167" customFormat="1" ht="12.75">
      <c r="A85" s="30"/>
      <c r="C85" s="208"/>
      <c r="D85" s="207"/>
      <c r="E85" s="207"/>
      <c r="F85" s="207"/>
      <c r="G85" s="209"/>
      <c r="H85" s="209"/>
      <c r="I85" s="209"/>
      <c r="J85" s="209"/>
      <c r="K85" s="209"/>
      <c r="L85" s="207"/>
      <c r="M85" s="209"/>
      <c r="N85" s="207"/>
      <c r="O85" s="209"/>
      <c r="P85" s="209"/>
      <c r="Q85" s="209"/>
      <c r="R85" s="207"/>
      <c r="S85" s="207"/>
      <c r="T85" s="207"/>
      <c r="U85" s="207"/>
      <c r="V85" s="207"/>
      <c r="W85" s="208"/>
      <c r="X85" s="210"/>
      <c r="Y85" s="211"/>
    </row>
    <row r="86" spans="1:25" s="167" customFormat="1" ht="15.75">
      <c r="A86" s="30" t="s">
        <v>113</v>
      </c>
      <c r="B86" s="225" t="s">
        <v>112</v>
      </c>
      <c r="C86" s="208"/>
      <c r="D86" s="207"/>
      <c r="E86" s="207"/>
      <c r="F86" s="207"/>
      <c r="G86" s="209"/>
      <c r="H86" s="209"/>
      <c r="I86" s="209"/>
      <c r="J86" s="209"/>
      <c r="K86" s="221">
        <f>+K73*0.1</f>
        <v>13</v>
      </c>
      <c r="L86" s="222">
        <f>+L74*0.1</f>
        <v>12.5</v>
      </c>
      <c r="M86" s="221"/>
      <c r="N86" s="222">
        <f>+N75*0.1</f>
        <v>25.5</v>
      </c>
      <c r="O86" s="221"/>
      <c r="P86" s="221"/>
      <c r="Q86" s="221">
        <f>+Q76*0.1</f>
        <v>13.8</v>
      </c>
      <c r="R86" s="222">
        <f>+R77*0.1</f>
        <v>32</v>
      </c>
      <c r="S86" s="222">
        <f>+S71*0.1</f>
        <v>18.400000000000002</v>
      </c>
      <c r="T86" s="207"/>
      <c r="U86" s="207">
        <f>+U78*0.1</f>
        <v>12.100000000000001</v>
      </c>
      <c r="V86" s="207">
        <f>+V79*0.1</f>
        <v>30</v>
      </c>
      <c r="W86" s="208"/>
      <c r="X86" s="210"/>
      <c r="Y86" s="211"/>
    </row>
    <row r="87" spans="1:25" s="167" customFormat="1" ht="12.75">
      <c r="A87" s="30"/>
      <c r="C87" s="208"/>
      <c r="D87" s="207"/>
      <c r="E87" s="207"/>
      <c r="F87" s="207"/>
      <c r="G87" s="209"/>
      <c r="H87" s="209"/>
      <c r="I87" s="209"/>
      <c r="J87" s="209"/>
      <c r="K87" s="209"/>
      <c r="L87" s="207"/>
      <c r="M87" s="209"/>
      <c r="N87" s="207"/>
      <c r="O87" s="209"/>
      <c r="P87" s="209"/>
      <c r="Q87" s="209"/>
      <c r="R87" s="207"/>
      <c r="S87" s="207"/>
      <c r="T87" s="207"/>
      <c r="U87" s="207"/>
      <c r="V87" s="207"/>
      <c r="W87" s="208"/>
      <c r="X87" s="210"/>
      <c r="Y87" s="211"/>
    </row>
    <row r="88" spans="1:25" s="167" customFormat="1" ht="16.5" thickBot="1">
      <c r="A88" s="214" t="s">
        <v>114</v>
      </c>
      <c r="B88" s="213" t="s">
        <v>111</v>
      </c>
      <c r="C88" s="215"/>
      <c r="D88" s="216"/>
      <c r="E88" s="216"/>
      <c r="F88" s="216">
        <f>SUM($E$86:F86)+F84</f>
        <v>375.50166666666667</v>
      </c>
      <c r="G88" s="216">
        <f>SUM($E$86:G86)+G84</f>
        <v>389.8338693333333</v>
      </c>
      <c r="H88" s="216">
        <f>SUM($E$86:H86)+H84</f>
        <v>424.268106842</v>
      </c>
      <c r="I88" s="216">
        <f>SUM($E$86:I86)+I84</f>
        <v>439.32267938957705</v>
      </c>
      <c r="J88" s="216">
        <f>SUM($E$86:J86)+J84</f>
        <v>463.65286549329227</v>
      </c>
      <c r="K88" s="216">
        <f>SUM($E$86:K86)+K84</f>
        <v>369.6226737609463</v>
      </c>
      <c r="L88" s="216">
        <f>SUM($E$86:L86)+L84</f>
        <v>277.53004379497736</v>
      </c>
      <c r="M88" s="216">
        <f>SUM($E$86:M86)+M84</f>
        <v>304.59715090759323</v>
      </c>
      <c r="N88" s="216">
        <f>SUM($E$86:N86)+N84</f>
        <v>121.3984072654381</v>
      </c>
      <c r="O88" s="216">
        <f>SUM($E$86:O86)+O84</f>
        <v>165.46228434453099</v>
      </c>
      <c r="P88" s="216">
        <f>SUM($E$86:P86)+P84</f>
        <v>207.45137188065934</v>
      </c>
      <c r="Q88" s="216">
        <f>SUM($E$86:Q86)+Q84</f>
        <v>263.2067220251728</v>
      </c>
      <c r="R88" s="216">
        <f>SUM($E$86:R86)+R84</f>
        <v>157.64957237776235</v>
      </c>
      <c r="S88" s="216">
        <f>SUM($E$86:S86)+S84</f>
        <v>100.7811694777733</v>
      </c>
      <c r="T88" s="216">
        <f>SUM($E$86:T86)+T84</f>
        <v>198.30269796284944</v>
      </c>
      <c r="U88" s="216">
        <f>SUM($E$86:U86)+U84</f>
        <v>368.4327417674822</v>
      </c>
      <c r="V88" s="216">
        <f>SUM($E$86:V86)+V84</f>
        <v>431.3067006896052</v>
      </c>
      <c r="W88" s="208"/>
      <c r="X88" s="210"/>
      <c r="Y88" s="211"/>
    </row>
    <row r="89" spans="1:25" s="167" customFormat="1" ht="16.5" thickTop="1">
      <c r="A89" s="228"/>
      <c r="B89" s="208"/>
      <c r="C89" s="23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08"/>
      <c r="X89" s="210"/>
      <c r="Y89" s="211"/>
    </row>
    <row r="90" spans="1:25" s="225" customFormat="1" ht="15.75">
      <c r="A90" s="228"/>
      <c r="B90" s="233" t="s">
        <v>122</v>
      </c>
      <c r="C90" s="234"/>
      <c r="D90" s="234">
        <f>-SUM(D67:D80)</f>
        <v>-96</v>
      </c>
      <c r="E90" s="234">
        <f aca="true" t="shared" si="22" ref="E90:V90">-SUM(E67:E80)</f>
        <v>213.7</v>
      </c>
      <c r="F90" s="234">
        <f t="shared" si="22"/>
        <v>-25</v>
      </c>
      <c r="G90" s="234">
        <f t="shared" si="22"/>
        <v>-25</v>
      </c>
      <c r="H90" s="234">
        <f t="shared" si="22"/>
        <v>-25</v>
      </c>
      <c r="I90" s="234">
        <f t="shared" si="22"/>
        <v>-25</v>
      </c>
      <c r="J90" s="234">
        <f t="shared" si="22"/>
        <v>-25</v>
      </c>
      <c r="K90" s="234">
        <f t="shared" si="22"/>
        <v>-155</v>
      </c>
      <c r="L90" s="234">
        <f t="shared" si="22"/>
        <v>-150</v>
      </c>
      <c r="M90" s="234">
        <f t="shared" si="22"/>
        <v>-5</v>
      </c>
      <c r="N90" s="234">
        <f t="shared" si="22"/>
        <v>-255</v>
      </c>
      <c r="O90" s="234">
        <f t="shared" si="22"/>
        <v>0</v>
      </c>
      <c r="P90" s="234">
        <f t="shared" si="22"/>
        <v>0</v>
      </c>
      <c r="Q90" s="234">
        <f t="shared" si="22"/>
        <v>-138</v>
      </c>
      <c r="R90" s="234">
        <f t="shared" si="22"/>
        <v>-320</v>
      </c>
      <c r="S90" s="234">
        <f t="shared" si="22"/>
        <v>-284</v>
      </c>
      <c r="T90" s="234">
        <f t="shared" si="22"/>
        <v>-139</v>
      </c>
      <c r="U90" s="234">
        <f t="shared" si="22"/>
        <v>-121</v>
      </c>
      <c r="V90" s="235">
        <f t="shared" si="22"/>
        <v>-317</v>
      </c>
      <c r="W90" s="232"/>
      <c r="X90" s="236"/>
      <c r="Y90" s="237"/>
    </row>
    <row r="91" spans="1:25" s="242" customFormat="1" ht="15.75">
      <c r="A91" s="238"/>
      <c r="B91" s="233" t="s">
        <v>121</v>
      </c>
      <c r="C91" s="234">
        <v>1891</v>
      </c>
      <c r="D91" s="234">
        <f>+C91+D90</f>
        <v>1795</v>
      </c>
      <c r="E91" s="234">
        <f aca="true" t="shared" si="23" ref="E91:V91">+D91+E90</f>
        <v>2008.7</v>
      </c>
      <c r="F91" s="234">
        <f t="shared" si="23"/>
        <v>1983.7</v>
      </c>
      <c r="G91" s="234">
        <f t="shared" si="23"/>
        <v>1958.7</v>
      </c>
      <c r="H91" s="234">
        <f t="shared" si="23"/>
        <v>1933.7</v>
      </c>
      <c r="I91" s="234">
        <f t="shared" si="23"/>
        <v>1908.7</v>
      </c>
      <c r="J91" s="234">
        <f t="shared" si="23"/>
        <v>1883.7</v>
      </c>
      <c r="K91" s="234">
        <f t="shared" si="23"/>
        <v>1728.7</v>
      </c>
      <c r="L91" s="234">
        <f t="shared" si="23"/>
        <v>1578.7</v>
      </c>
      <c r="M91" s="234">
        <f t="shared" si="23"/>
        <v>1573.7</v>
      </c>
      <c r="N91" s="234">
        <f t="shared" si="23"/>
        <v>1318.7</v>
      </c>
      <c r="O91" s="234">
        <f t="shared" si="23"/>
        <v>1318.7</v>
      </c>
      <c r="P91" s="234">
        <f t="shared" si="23"/>
        <v>1318.7</v>
      </c>
      <c r="Q91" s="234">
        <f t="shared" si="23"/>
        <v>1180.7</v>
      </c>
      <c r="R91" s="234">
        <f t="shared" si="23"/>
        <v>860.7</v>
      </c>
      <c r="S91" s="234">
        <f t="shared" si="23"/>
        <v>576.7</v>
      </c>
      <c r="T91" s="234">
        <f t="shared" si="23"/>
        <v>437.70000000000005</v>
      </c>
      <c r="U91" s="234">
        <f t="shared" si="23"/>
        <v>316.70000000000005</v>
      </c>
      <c r="V91" s="235">
        <f t="shared" si="23"/>
        <v>-0.2999999999999545</v>
      </c>
      <c r="W91" s="239"/>
      <c r="X91" s="240"/>
      <c r="Y91" s="241"/>
    </row>
    <row r="92" spans="1:25" s="15" customFormat="1" ht="12.75">
      <c r="A92" s="16"/>
      <c r="B92" s="114" t="s">
        <v>91</v>
      </c>
      <c r="C92" s="115"/>
      <c r="D92" s="116"/>
      <c r="E92" s="116">
        <f>+((+G101+G102+G103)/4)</f>
        <v>5.584875</v>
      </c>
      <c r="F92" s="116">
        <f>+E92+5.6</f>
        <v>11.184875</v>
      </c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7"/>
      <c r="W92" s="33"/>
      <c r="X92" s="35"/>
      <c r="Y92" s="17"/>
    </row>
    <row r="93" spans="1:25" s="15" customFormat="1" ht="12.75">
      <c r="A93" s="16"/>
      <c r="D93" s="96"/>
      <c r="E93" s="34"/>
      <c r="F93" s="34"/>
      <c r="G93" s="34"/>
      <c r="H93" s="34"/>
      <c r="I93" s="34"/>
      <c r="J93" s="34"/>
      <c r="K93" s="34"/>
      <c r="L93" s="96"/>
      <c r="M93" s="34"/>
      <c r="N93" s="96"/>
      <c r="O93" s="34"/>
      <c r="P93" s="34"/>
      <c r="Q93" s="34"/>
      <c r="R93" s="34"/>
      <c r="S93" s="34"/>
      <c r="T93" s="34"/>
      <c r="U93" s="34"/>
      <c r="V93" s="34"/>
      <c r="W93" s="33"/>
      <c r="X93" s="35"/>
      <c r="Y93" s="17"/>
    </row>
    <row r="94" ht="12.75">
      <c r="B94" s="50" t="s">
        <v>47</v>
      </c>
    </row>
    <row r="95" spans="2:21" ht="12.75">
      <c r="B95" s="50"/>
      <c r="U95" t="s">
        <v>82</v>
      </c>
    </row>
    <row r="96" spans="2:24" ht="12.75">
      <c r="B96" s="50"/>
      <c r="U96" t="s">
        <v>83</v>
      </c>
      <c r="W96" t="s">
        <v>109</v>
      </c>
      <c r="X96" s="10">
        <f>-310-X97</f>
        <v>-71</v>
      </c>
    </row>
    <row r="97" spans="2:24" ht="12.75">
      <c r="B97" s="50"/>
      <c r="D97" s="80"/>
      <c r="E97" s="81" t="s">
        <v>62</v>
      </c>
      <c r="F97" s="82"/>
      <c r="G97" s="83"/>
      <c r="W97" t="s">
        <v>85</v>
      </c>
      <c r="X97" s="10">
        <v>-239</v>
      </c>
    </row>
    <row r="98" spans="2:24" ht="12.75">
      <c r="B98" s="50"/>
      <c r="D98" s="55" t="s">
        <v>22</v>
      </c>
      <c r="E98" s="79" t="s">
        <v>81</v>
      </c>
      <c r="F98" s="56" t="s">
        <v>80</v>
      </c>
      <c r="G98" s="56" t="s">
        <v>17</v>
      </c>
      <c r="U98" t="s">
        <v>87</v>
      </c>
      <c r="X98" s="10">
        <v>-184</v>
      </c>
    </row>
    <row r="99" spans="2:24" ht="13.5" thickBot="1">
      <c r="B99" s="50"/>
      <c r="C99" s="6" t="s">
        <v>14</v>
      </c>
      <c r="D99" s="6">
        <v>1</v>
      </c>
      <c r="E99" s="14">
        <v>251.1</v>
      </c>
      <c r="F99" s="5">
        <v>10.045872</v>
      </c>
      <c r="G99" s="5">
        <f>10*25*0.0425</f>
        <v>10.625</v>
      </c>
      <c r="U99" t="s">
        <v>86</v>
      </c>
      <c r="X99" s="84">
        <f>SUM(X82:X98)</f>
        <v>1515</v>
      </c>
    </row>
    <row r="100" spans="2:7" ht="13.5" thickTop="1">
      <c r="B100" s="50"/>
      <c r="C100" s="6" t="s">
        <v>37</v>
      </c>
      <c r="D100" s="6">
        <v>2</v>
      </c>
      <c r="E100" s="14">
        <v>151.6</v>
      </c>
      <c r="F100" s="5">
        <v>6.062128</v>
      </c>
      <c r="G100" s="5">
        <f>6*1.25</f>
        <v>7.5</v>
      </c>
    </row>
    <row r="101" spans="2:7" ht="13.5" thickBot="1">
      <c r="B101" s="50"/>
      <c r="C101" s="6" t="s">
        <v>38</v>
      </c>
      <c r="D101" s="6">
        <v>3</v>
      </c>
      <c r="E101" s="14">
        <f>203</f>
        <v>203</v>
      </c>
      <c r="F101" s="5">
        <v>8.1209</v>
      </c>
      <c r="G101" s="5">
        <f>203*0.0675</f>
        <v>13.7025</v>
      </c>
    </row>
    <row r="102" spans="3:24" ht="18.75" thickBot="1">
      <c r="C102" s="6" t="s">
        <v>39</v>
      </c>
      <c r="D102" s="6">
        <v>5</v>
      </c>
      <c r="E102" s="14">
        <f>123</f>
        <v>123</v>
      </c>
      <c r="F102" s="5">
        <v>4.91992</v>
      </c>
      <c r="G102" s="5">
        <f>123*0.069</f>
        <v>8.487</v>
      </c>
      <c r="S102" s="18" t="s">
        <v>64</v>
      </c>
      <c r="T102" s="93" t="s">
        <v>55</v>
      </c>
      <c r="U102" t="s">
        <v>54</v>
      </c>
      <c r="V102" s="14">
        <f>(+$E$23+$F$23)*2*0+146.1*4</f>
        <v>584.4</v>
      </c>
      <c r="W102" s="16" t="s">
        <v>63</v>
      </c>
      <c r="X102" s="64">
        <f>+X99/+(V102)</f>
        <v>2.5924024640657084</v>
      </c>
    </row>
    <row r="103" spans="4:24" ht="12.75">
      <c r="D103" s="6">
        <v>7</v>
      </c>
      <c r="E103" s="14">
        <v>2.9</v>
      </c>
      <c r="F103" s="5">
        <v>0.383333</v>
      </c>
      <c r="G103" s="5">
        <f>3*0.05</f>
        <v>0.15000000000000002</v>
      </c>
      <c r="S103" s="1"/>
      <c r="T103" s="1"/>
      <c r="X103" s="51"/>
    </row>
    <row r="104" spans="5:25" ht="13.5" thickBot="1">
      <c r="E104" s="14"/>
      <c r="X104" s="1" t="s">
        <v>58</v>
      </c>
      <c r="Y104" s="53">
        <f>+Y82*0.5</f>
        <v>59.887</v>
      </c>
    </row>
    <row r="105" spans="4:25" ht="18.75" thickBot="1">
      <c r="D105" s="15" t="s">
        <v>35</v>
      </c>
      <c r="E105" s="32">
        <f>SUM(E99:E104)</f>
        <v>731.6</v>
      </c>
      <c r="F105" s="54">
        <f>SUM(F99:F104)</f>
        <v>29.532153000000005</v>
      </c>
      <c r="G105" s="54">
        <f>SUM(G99:G104)</f>
        <v>40.4645</v>
      </c>
      <c r="S105" s="18" t="s">
        <v>56</v>
      </c>
      <c r="T105" s="93" t="s">
        <v>55</v>
      </c>
      <c r="U105" t="s">
        <v>54</v>
      </c>
      <c r="V105" s="14">
        <f>(+$E$23+$F$23)</f>
        <v>291.2</v>
      </c>
      <c r="X105" s="23" t="s">
        <v>57</v>
      </c>
      <c r="Y105" s="62">
        <f>+V105/Y104</f>
        <v>4.862491024763304</v>
      </c>
    </row>
    <row r="106" ht="13.5" thickTop="1"/>
    <row r="107" ht="12.75">
      <c r="B107" s="78"/>
    </row>
    <row r="112" ht="12.75">
      <c r="L112" s="77"/>
    </row>
  </sheetData>
  <printOptions/>
  <pageMargins left="0.75" right="0.75" top="1" bottom="1" header="0.5" footer="0.5"/>
  <pageSetup orientation="portrait" paperSize="9" r:id="rId3"/>
  <ignoredErrors>
    <ignoredError sqref="X73:X80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9" sqref="E29:E41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9" ht="31.5">
      <c r="B1" s="104" t="s">
        <v>107</v>
      </c>
      <c r="G1" s="57"/>
      <c r="H1" s="58" t="s">
        <v>95</v>
      </c>
      <c r="I1" s="57"/>
    </row>
    <row r="2" spans="1:25" s="89" customFormat="1" ht="10.5" customHeight="1">
      <c r="A2" s="29"/>
      <c r="B2" s="88"/>
      <c r="H2" s="90"/>
      <c r="X2" s="91"/>
      <c r="Y2" s="92"/>
    </row>
    <row r="3" spans="2:6" ht="20.25">
      <c r="B3" s="105" t="s">
        <v>97</v>
      </c>
      <c r="C3" s="86"/>
      <c r="D3" s="176"/>
      <c r="E3" s="95"/>
      <c r="F3" s="87"/>
    </row>
    <row r="4" spans="1:25" s="18" customFormat="1" ht="13.5" thickBot="1">
      <c r="A4" s="16"/>
      <c r="C4" s="135"/>
      <c r="D4" s="166" t="s">
        <v>18</v>
      </c>
      <c r="E4" s="151" t="s">
        <v>0</v>
      </c>
      <c r="F4" s="19" t="s">
        <v>1</v>
      </c>
      <c r="G4" s="19" t="s">
        <v>2</v>
      </c>
      <c r="H4" s="19" t="s">
        <v>3</v>
      </c>
      <c r="I4" s="20" t="s">
        <v>4</v>
      </c>
      <c r="J4" s="20" t="s">
        <v>5</v>
      </c>
      <c r="K4" s="20" t="s">
        <v>6</v>
      </c>
      <c r="L4" s="20" t="s">
        <v>7</v>
      </c>
      <c r="M4" s="21" t="s">
        <v>8</v>
      </c>
      <c r="N4" s="21" t="s">
        <v>9</v>
      </c>
      <c r="O4" s="21" t="s">
        <v>10</v>
      </c>
      <c r="P4" s="21" t="s">
        <v>11</v>
      </c>
      <c r="Q4" s="18">
        <v>2015</v>
      </c>
      <c r="R4" s="18">
        <v>2016</v>
      </c>
      <c r="S4" s="18">
        <v>2017</v>
      </c>
      <c r="T4" s="18">
        <v>2018</v>
      </c>
      <c r="U4" s="18">
        <v>2019</v>
      </c>
      <c r="V4" s="18">
        <v>2020</v>
      </c>
      <c r="W4" s="16"/>
      <c r="X4" s="23"/>
      <c r="Y4" s="22"/>
    </row>
    <row r="5" spans="2:25" s="120" customFormat="1" ht="17.25" thickBot="1">
      <c r="B5" s="127" t="s">
        <v>92</v>
      </c>
      <c r="C5" s="128"/>
      <c r="D5" s="177"/>
      <c r="E5" s="174"/>
      <c r="F5" s="129">
        <f>4.5%/2</f>
        <v>0.0225</v>
      </c>
      <c r="G5" s="129">
        <f aca="true" t="shared" si="0" ref="G5:O6">+F5</f>
        <v>0.0225</v>
      </c>
      <c r="H5" s="130">
        <f t="shared" si="0"/>
        <v>0.0225</v>
      </c>
      <c r="I5" s="129">
        <f t="shared" si="0"/>
        <v>0.0225</v>
      </c>
      <c r="J5" s="129">
        <f t="shared" si="0"/>
        <v>0.0225</v>
      </c>
      <c r="K5" s="129">
        <f t="shared" si="0"/>
        <v>0.0225</v>
      </c>
      <c r="L5" s="130">
        <f t="shared" si="0"/>
        <v>0.0225</v>
      </c>
      <c r="M5" s="172">
        <f t="shared" si="0"/>
        <v>0.0225</v>
      </c>
      <c r="N5" s="129">
        <f t="shared" si="0"/>
        <v>0.0225</v>
      </c>
      <c r="O5" s="129">
        <f t="shared" si="0"/>
        <v>0.0225</v>
      </c>
      <c r="P5" s="130">
        <f>+O5</f>
        <v>0.0225</v>
      </c>
      <c r="Q5" s="170">
        <v>0.15</v>
      </c>
      <c r="R5" s="170">
        <v>0.15</v>
      </c>
      <c r="S5" s="130">
        <v>0.15</v>
      </c>
      <c r="T5" s="130">
        <v>0.15</v>
      </c>
      <c r="U5" s="130">
        <v>0.15</v>
      </c>
      <c r="V5" s="130">
        <v>0.15</v>
      </c>
      <c r="X5" s="125"/>
      <c r="Y5" s="126"/>
    </row>
    <row r="6" spans="2:25" s="120" customFormat="1" ht="17.25" thickBot="1">
      <c r="B6" s="121" t="s">
        <v>93</v>
      </c>
      <c r="C6" s="122"/>
      <c r="D6" s="122"/>
      <c r="E6" s="175"/>
      <c r="F6" s="123">
        <v>-0.044</v>
      </c>
      <c r="G6" s="123">
        <f t="shared" si="0"/>
        <v>-0.044</v>
      </c>
      <c r="H6" s="124">
        <f t="shared" si="0"/>
        <v>-0.044</v>
      </c>
      <c r="I6" s="173">
        <f t="shared" si="0"/>
        <v>-0.044</v>
      </c>
      <c r="J6" s="123">
        <f t="shared" si="0"/>
        <v>-0.044</v>
      </c>
      <c r="K6" s="123">
        <f t="shared" si="0"/>
        <v>-0.044</v>
      </c>
      <c r="L6" s="124">
        <f t="shared" si="0"/>
        <v>-0.044</v>
      </c>
      <c r="M6" s="173">
        <f t="shared" si="0"/>
        <v>-0.044</v>
      </c>
      <c r="N6" s="123">
        <f t="shared" si="0"/>
        <v>-0.044</v>
      </c>
      <c r="O6" s="123">
        <f t="shared" si="0"/>
        <v>-0.044</v>
      </c>
      <c r="P6" s="124">
        <f>+O6</f>
        <v>-0.044</v>
      </c>
      <c r="Q6" s="171">
        <v>-0.15</v>
      </c>
      <c r="R6" s="171">
        <v>-0.15</v>
      </c>
      <c r="S6" s="124">
        <v>-0.1</v>
      </c>
      <c r="T6" s="124">
        <v>-0.05</v>
      </c>
      <c r="U6" s="124">
        <v>0</v>
      </c>
      <c r="V6" s="124">
        <v>0</v>
      </c>
      <c r="X6" s="125"/>
      <c r="Y6" s="126"/>
    </row>
    <row r="7" spans="2:6" ht="20.25">
      <c r="B7" s="85"/>
      <c r="C7" s="86"/>
      <c r="D7" s="86"/>
      <c r="E7" s="152"/>
      <c r="F7" s="87"/>
    </row>
    <row r="8" spans="1:25" s="15" customFormat="1" ht="15.75">
      <c r="A8" s="16"/>
      <c r="D8" s="146"/>
      <c r="E8" s="168" t="s">
        <v>53</v>
      </c>
      <c r="F8" s="167"/>
      <c r="X8" s="23"/>
      <c r="Y8" s="22"/>
    </row>
    <row r="9" spans="1:25" s="18" customFormat="1" ht="12.75">
      <c r="A9" s="16"/>
      <c r="C9" s="135" t="s">
        <v>34</v>
      </c>
      <c r="D9" s="166" t="s">
        <v>18</v>
      </c>
      <c r="E9" s="153" t="s">
        <v>0</v>
      </c>
      <c r="F9" s="19" t="s">
        <v>1</v>
      </c>
      <c r="G9" s="19" t="s">
        <v>2</v>
      </c>
      <c r="H9" s="19" t="s">
        <v>3</v>
      </c>
      <c r="I9" s="20" t="s">
        <v>4</v>
      </c>
      <c r="J9" s="20" t="s">
        <v>5</v>
      </c>
      <c r="K9" s="20" t="s">
        <v>6</v>
      </c>
      <c r="L9" s="20" t="s">
        <v>7</v>
      </c>
      <c r="M9" s="21" t="s">
        <v>8</v>
      </c>
      <c r="N9" s="21" t="s">
        <v>9</v>
      </c>
      <c r="O9" s="21" t="s">
        <v>10</v>
      </c>
      <c r="P9" s="21" t="s">
        <v>11</v>
      </c>
      <c r="Q9" s="18">
        <v>2015</v>
      </c>
      <c r="R9" s="18">
        <v>2016</v>
      </c>
      <c r="S9" s="18">
        <v>2017</v>
      </c>
      <c r="T9" s="18">
        <v>2018</v>
      </c>
      <c r="U9" s="18">
        <v>2019</v>
      </c>
      <c r="V9" s="18">
        <v>2020</v>
      </c>
      <c r="W9" s="16" t="s">
        <v>43</v>
      </c>
      <c r="X9" s="23"/>
      <c r="Y9" s="22"/>
    </row>
    <row r="10" spans="1:25" s="2" customFormat="1" ht="12.75">
      <c r="A10" s="29"/>
      <c r="B10" s="48" t="s">
        <v>54</v>
      </c>
      <c r="C10" s="136"/>
      <c r="D10" s="140"/>
      <c r="E10" s="154"/>
      <c r="X10" s="9"/>
      <c r="Y10" s="11"/>
    </row>
    <row r="11" spans="1:25" s="2" customFormat="1" ht="12.75">
      <c r="A11" s="29"/>
      <c r="B11" s="94"/>
      <c r="C11" s="136"/>
      <c r="D11" s="140"/>
      <c r="E11" s="154"/>
      <c r="X11" s="9"/>
      <c r="Y11" s="11"/>
    </row>
    <row r="12" spans="1:25" s="2" customFormat="1" ht="12.75">
      <c r="A12" s="29"/>
      <c r="B12" s="65" t="s">
        <v>67</v>
      </c>
      <c r="C12" s="136"/>
      <c r="D12" s="148">
        <v>90</v>
      </c>
      <c r="E12" s="155">
        <v>85.9</v>
      </c>
      <c r="F12" s="12">
        <f aca="true" t="shared" si="1" ref="F12:P12">+E12*(1+F13)</f>
        <v>87.83275</v>
      </c>
      <c r="G12" s="12">
        <f t="shared" si="1"/>
        <v>89.808986875</v>
      </c>
      <c r="H12" s="12">
        <f t="shared" si="1"/>
        <v>91.8296890796875</v>
      </c>
      <c r="I12" s="12">
        <f t="shared" si="1"/>
        <v>93.89585708398046</v>
      </c>
      <c r="J12" s="12">
        <f t="shared" si="1"/>
        <v>96.00851386837002</v>
      </c>
      <c r="K12" s="12">
        <f t="shared" si="1"/>
        <v>98.16870543040834</v>
      </c>
      <c r="L12" s="12">
        <f t="shared" si="1"/>
        <v>100.37750130259252</v>
      </c>
      <c r="M12" s="12">
        <f t="shared" si="1"/>
        <v>102.63599508190084</v>
      </c>
      <c r="N12" s="12">
        <f t="shared" si="1"/>
        <v>104.94530497124362</v>
      </c>
      <c r="O12" s="12">
        <f t="shared" si="1"/>
        <v>107.30657433309659</v>
      </c>
      <c r="P12" s="12">
        <f t="shared" si="1"/>
        <v>109.72097225559126</v>
      </c>
      <c r="Q12" s="12">
        <f>+P12*4</f>
        <v>438.88388902236505</v>
      </c>
      <c r="R12" s="12">
        <f>+Q12*(1+R13)</f>
        <v>504.7164723757198</v>
      </c>
      <c r="S12" s="12">
        <f>+R12*(1+S13)</f>
        <v>580.4239432320777</v>
      </c>
      <c r="T12" s="12">
        <f>+S12*(1+T13)</f>
        <v>667.4875347168893</v>
      </c>
      <c r="U12" s="12">
        <f>+T12*(1+U13)</f>
        <v>767.6106649244226</v>
      </c>
      <c r="V12" s="12">
        <f>+U12*(1+V13)</f>
        <v>882.752264663086</v>
      </c>
      <c r="X12" s="9"/>
      <c r="Y12" s="11"/>
    </row>
    <row r="13" spans="1:25" s="2" customFormat="1" ht="12.75">
      <c r="A13" s="29"/>
      <c r="B13" s="66" t="s">
        <v>70</v>
      </c>
      <c r="C13" s="137"/>
      <c r="D13" s="137"/>
      <c r="E13" s="156"/>
      <c r="F13" s="70">
        <f aca="true" t="shared" si="2" ref="F13:R13">+F5</f>
        <v>0.0225</v>
      </c>
      <c r="G13" s="70">
        <f t="shared" si="2"/>
        <v>0.0225</v>
      </c>
      <c r="H13" s="70">
        <f t="shared" si="2"/>
        <v>0.0225</v>
      </c>
      <c r="I13" s="70">
        <f t="shared" si="2"/>
        <v>0.0225</v>
      </c>
      <c r="J13" s="70">
        <f t="shared" si="2"/>
        <v>0.0225</v>
      </c>
      <c r="K13" s="70">
        <f t="shared" si="2"/>
        <v>0.0225</v>
      </c>
      <c r="L13" s="70">
        <f t="shared" si="2"/>
        <v>0.0225</v>
      </c>
      <c r="M13" s="70">
        <f t="shared" si="2"/>
        <v>0.0225</v>
      </c>
      <c r="N13" s="70">
        <f t="shared" si="2"/>
        <v>0.0225</v>
      </c>
      <c r="O13" s="70">
        <f t="shared" si="2"/>
        <v>0.0225</v>
      </c>
      <c r="P13" s="70">
        <f t="shared" si="2"/>
        <v>0.0225</v>
      </c>
      <c r="Q13" s="70">
        <f t="shared" si="2"/>
        <v>0.15</v>
      </c>
      <c r="R13" s="70">
        <f t="shared" si="2"/>
        <v>0.15</v>
      </c>
      <c r="S13" s="70">
        <f>+S5</f>
        <v>0.15</v>
      </c>
      <c r="T13" s="70">
        <f>+T5</f>
        <v>0.15</v>
      </c>
      <c r="U13" s="70">
        <f>+U5</f>
        <v>0.15</v>
      </c>
      <c r="V13" s="70">
        <f>+V5</f>
        <v>0.15</v>
      </c>
      <c r="X13" s="9"/>
      <c r="Y13" s="11"/>
    </row>
    <row r="14" spans="1:22" s="102" customFormat="1" ht="12.75">
      <c r="A14" s="100"/>
      <c r="B14" s="101" t="s">
        <v>106</v>
      </c>
      <c r="C14" s="98"/>
      <c r="D14" s="98">
        <v>0.394</v>
      </c>
      <c r="E14" s="157">
        <v>0.4</v>
      </c>
      <c r="F14" s="102">
        <f aca="true" t="shared" si="3" ref="F14:R14">+E14</f>
        <v>0.4</v>
      </c>
      <c r="G14" s="102">
        <f t="shared" si="3"/>
        <v>0.4</v>
      </c>
      <c r="H14" s="102">
        <f t="shared" si="3"/>
        <v>0.4</v>
      </c>
      <c r="I14" s="102">
        <f t="shared" si="3"/>
        <v>0.4</v>
      </c>
      <c r="J14" s="102">
        <f t="shared" si="3"/>
        <v>0.4</v>
      </c>
      <c r="K14" s="102">
        <f t="shared" si="3"/>
        <v>0.4</v>
      </c>
      <c r="L14" s="102">
        <f t="shared" si="3"/>
        <v>0.4</v>
      </c>
      <c r="M14" s="102">
        <f t="shared" si="3"/>
        <v>0.4</v>
      </c>
      <c r="N14" s="102">
        <f t="shared" si="3"/>
        <v>0.4</v>
      </c>
      <c r="O14" s="102">
        <f t="shared" si="3"/>
        <v>0.4</v>
      </c>
      <c r="P14" s="102">
        <f t="shared" si="3"/>
        <v>0.4</v>
      </c>
      <c r="Q14" s="102">
        <f t="shared" si="3"/>
        <v>0.4</v>
      </c>
      <c r="R14" s="102">
        <f t="shared" si="3"/>
        <v>0.4</v>
      </c>
      <c r="S14" s="102">
        <f>+R14</f>
        <v>0.4</v>
      </c>
      <c r="T14" s="102">
        <f>+S14</f>
        <v>0.4</v>
      </c>
      <c r="U14" s="102">
        <f>+T14</f>
        <v>0.4</v>
      </c>
      <c r="V14" s="102">
        <f>+U14</f>
        <v>0.4</v>
      </c>
    </row>
    <row r="15" spans="1:25" s="2" customFormat="1" ht="12.75">
      <c r="A15" s="29"/>
      <c r="B15" s="25" t="s">
        <v>69</v>
      </c>
      <c r="C15" s="136"/>
      <c r="D15" s="73">
        <f>+D12*D14</f>
        <v>35.46</v>
      </c>
      <c r="E15" s="179">
        <f>+E12*E14</f>
        <v>34.36000000000001</v>
      </c>
      <c r="F15" s="73">
        <f aca="true" t="shared" si="4" ref="F15:R15">+F12*F14</f>
        <v>35.133100000000006</v>
      </c>
      <c r="G15" s="73">
        <f t="shared" si="4"/>
        <v>35.92359475</v>
      </c>
      <c r="H15" s="73">
        <f t="shared" si="4"/>
        <v>36.731875631875</v>
      </c>
      <c r="I15" s="73">
        <f t="shared" si="4"/>
        <v>37.558342833592185</v>
      </c>
      <c r="J15" s="73">
        <f t="shared" si="4"/>
        <v>38.40340554734801</v>
      </c>
      <c r="K15" s="73">
        <f t="shared" si="4"/>
        <v>39.26748217216334</v>
      </c>
      <c r="L15" s="73">
        <f t="shared" si="4"/>
        <v>40.15100052103701</v>
      </c>
      <c r="M15" s="73">
        <f t="shared" si="4"/>
        <v>41.05439803276034</v>
      </c>
      <c r="N15" s="73">
        <f t="shared" si="4"/>
        <v>41.97812198849745</v>
      </c>
      <c r="O15" s="73">
        <f t="shared" si="4"/>
        <v>42.92262973323864</v>
      </c>
      <c r="P15" s="73">
        <f t="shared" si="4"/>
        <v>43.88838890223651</v>
      </c>
      <c r="Q15" s="73">
        <f t="shared" si="4"/>
        <v>175.55355560894603</v>
      </c>
      <c r="R15" s="73">
        <f t="shared" si="4"/>
        <v>201.88658895028792</v>
      </c>
      <c r="S15" s="73">
        <f>+S12*S14</f>
        <v>232.1695772928311</v>
      </c>
      <c r="T15" s="73">
        <f>+T12*T14</f>
        <v>266.9950138867557</v>
      </c>
      <c r="U15" s="73">
        <f>+U12*U14</f>
        <v>307.04426596976907</v>
      </c>
      <c r="V15" s="73">
        <f>+V12*V14</f>
        <v>353.1009058652344</v>
      </c>
      <c r="X15" s="9"/>
      <c r="Y15" s="11"/>
    </row>
    <row r="16" spans="1:25" s="2" customFormat="1" ht="12.75">
      <c r="A16" s="29"/>
      <c r="B16" s="65"/>
      <c r="C16" s="136"/>
      <c r="D16" s="148"/>
      <c r="E16" s="15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29"/>
      <c r="B17" s="65" t="s">
        <v>68</v>
      </c>
      <c r="C17" s="136"/>
      <c r="D17" s="148">
        <v>223.3</v>
      </c>
      <c r="E17" s="155">
        <f>+E22-E12</f>
        <v>203.20000000000002</v>
      </c>
      <c r="F17" s="12">
        <f aca="true" t="shared" si="5" ref="F17:R17">+E17*(1+F18)</f>
        <v>194.25920000000002</v>
      </c>
      <c r="G17" s="12">
        <f t="shared" si="5"/>
        <v>185.7117952</v>
      </c>
      <c r="H17" s="12">
        <f t="shared" si="5"/>
        <v>177.5404762112</v>
      </c>
      <c r="I17" s="12">
        <f t="shared" si="5"/>
        <v>169.7286952579072</v>
      </c>
      <c r="J17" s="12">
        <f t="shared" si="5"/>
        <v>162.26063266655927</v>
      </c>
      <c r="K17" s="12">
        <f t="shared" si="5"/>
        <v>155.12116482923065</v>
      </c>
      <c r="L17" s="12">
        <f t="shared" si="5"/>
        <v>148.29583357674449</v>
      </c>
      <c r="M17" s="12">
        <f t="shared" si="5"/>
        <v>141.77081689936773</v>
      </c>
      <c r="N17" s="12">
        <f t="shared" si="5"/>
        <v>135.53290095579555</v>
      </c>
      <c r="O17" s="12">
        <f t="shared" si="5"/>
        <v>129.56945331374055</v>
      </c>
      <c r="P17" s="12">
        <f t="shared" si="5"/>
        <v>123.86839736793597</v>
      </c>
      <c r="Q17" s="12">
        <f>+P17*4</f>
        <v>495.4735894717439</v>
      </c>
      <c r="R17" s="12">
        <f t="shared" si="5"/>
        <v>421.1525510509823</v>
      </c>
      <c r="S17" s="12">
        <f>+R17*(1+S18)</f>
        <v>379.03729594588407</v>
      </c>
      <c r="T17" s="12">
        <f>+S17*(1+T18)</f>
        <v>360.08543114858986</v>
      </c>
      <c r="U17" s="12">
        <f>+T17*(1+U18)</f>
        <v>360.08543114858986</v>
      </c>
      <c r="V17" s="12">
        <f>+U17*(1+V18)</f>
        <v>360.08543114858986</v>
      </c>
      <c r="X17" s="9"/>
      <c r="Y17" s="11"/>
    </row>
    <row r="18" spans="1:25" s="2" customFormat="1" ht="12.75">
      <c r="A18" s="29"/>
      <c r="B18" s="66" t="s">
        <v>73</v>
      </c>
      <c r="C18" s="136"/>
      <c r="D18" s="148"/>
      <c r="E18" s="158"/>
      <c r="F18" s="71">
        <f aca="true" t="shared" si="6" ref="F18:R18">+F6</f>
        <v>-0.044</v>
      </c>
      <c r="G18" s="71">
        <f t="shared" si="6"/>
        <v>-0.044</v>
      </c>
      <c r="H18" s="71">
        <f t="shared" si="6"/>
        <v>-0.044</v>
      </c>
      <c r="I18" s="71">
        <f t="shared" si="6"/>
        <v>-0.044</v>
      </c>
      <c r="J18" s="71">
        <f t="shared" si="6"/>
        <v>-0.044</v>
      </c>
      <c r="K18" s="71">
        <f t="shared" si="6"/>
        <v>-0.044</v>
      </c>
      <c r="L18" s="71">
        <f t="shared" si="6"/>
        <v>-0.044</v>
      </c>
      <c r="M18" s="71">
        <f t="shared" si="6"/>
        <v>-0.044</v>
      </c>
      <c r="N18" s="71">
        <f t="shared" si="6"/>
        <v>-0.044</v>
      </c>
      <c r="O18" s="71">
        <f t="shared" si="6"/>
        <v>-0.044</v>
      </c>
      <c r="P18" s="71">
        <f t="shared" si="6"/>
        <v>-0.044</v>
      </c>
      <c r="Q18" s="71">
        <f t="shared" si="6"/>
        <v>-0.15</v>
      </c>
      <c r="R18" s="71">
        <f t="shared" si="6"/>
        <v>-0.15</v>
      </c>
      <c r="S18" s="71">
        <f>+S6</f>
        <v>-0.1</v>
      </c>
      <c r="T18" s="71">
        <f>+T6</f>
        <v>-0.05</v>
      </c>
      <c r="U18" s="71">
        <f>+U6</f>
        <v>0</v>
      </c>
      <c r="V18" s="71">
        <f>+V6</f>
        <v>0</v>
      </c>
      <c r="X18" s="9"/>
      <c r="Y18" s="11"/>
    </row>
    <row r="19" spans="1:23" s="102" customFormat="1" ht="15">
      <c r="A19" s="100"/>
      <c r="B19" s="101" t="s">
        <v>106</v>
      </c>
      <c r="C19" s="138"/>
      <c r="D19" s="98">
        <v>0.5</v>
      </c>
      <c r="E19" s="157">
        <v>0.55</v>
      </c>
      <c r="F19" s="98">
        <v>0.55</v>
      </c>
      <c r="G19" s="98">
        <v>0.545</v>
      </c>
      <c r="H19" s="98">
        <v>0.54</v>
      </c>
      <c r="I19" s="98">
        <v>0.54</v>
      </c>
      <c r="J19" s="98">
        <v>0.535</v>
      </c>
      <c r="K19" s="98">
        <v>0.53</v>
      </c>
      <c r="L19" s="98">
        <v>0.53</v>
      </c>
      <c r="M19" s="98">
        <v>0.53</v>
      </c>
      <c r="N19" s="98">
        <v>0.53</v>
      </c>
      <c r="O19" s="98">
        <v>0.53</v>
      </c>
      <c r="P19" s="98">
        <v>0.53</v>
      </c>
      <c r="Q19" s="98">
        <v>0.53</v>
      </c>
      <c r="R19" s="98">
        <v>0.53</v>
      </c>
      <c r="S19" s="98">
        <v>0.53</v>
      </c>
      <c r="T19" s="98">
        <v>0.53</v>
      </c>
      <c r="U19" s="98">
        <v>0.53</v>
      </c>
      <c r="V19" s="98">
        <v>0.53</v>
      </c>
      <c r="W19" s="119" t="s">
        <v>98</v>
      </c>
    </row>
    <row r="20" spans="1:25" s="2" customFormat="1" ht="12.75">
      <c r="A20" s="29"/>
      <c r="B20" s="25" t="s">
        <v>71</v>
      </c>
      <c r="C20" s="136"/>
      <c r="D20" s="73">
        <f>+D17*D19</f>
        <v>111.65</v>
      </c>
      <c r="E20" s="179">
        <f>+E23-E15</f>
        <v>111.63999999999999</v>
      </c>
      <c r="F20" s="73">
        <f aca="true" t="shared" si="7" ref="F20:R20">+F17*F19</f>
        <v>106.84256000000002</v>
      </c>
      <c r="G20" s="73">
        <f t="shared" si="7"/>
        <v>101.21292838400001</v>
      </c>
      <c r="H20" s="73">
        <f t="shared" si="7"/>
        <v>95.871857154048</v>
      </c>
      <c r="I20" s="73">
        <f t="shared" si="7"/>
        <v>91.65349543926989</v>
      </c>
      <c r="J20" s="73">
        <f t="shared" si="7"/>
        <v>86.80943847660922</v>
      </c>
      <c r="K20" s="73">
        <f t="shared" si="7"/>
        <v>82.21421735949225</v>
      </c>
      <c r="L20" s="73">
        <f t="shared" si="7"/>
        <v>78.59679179567458</v>
      </c>
      <c r="M20" s="73">
        <f t="shared" si="7"/>
        <v>75.1385329566649</v>
      </c>
      <c r="N20" s="73">
        <f t="shared" si="7"/>
        <v>71.83243750657165</v>
      </c>
      <c r="O20" s="73">
        <f t="shared" si="7"/>
        <v>68.6718102562825</v>
      </c>
      <c r="P20" s="73">
        <f t="shared" si="7"/>
        <v>65.65025060500606</v>
      </c>
      <c r="Q20" s="73">
        <f t="shared" si="7"/>
        <v>262.60100242002426</v>
      </c>
      <c r="R20" s="73">
        <f t="shared" si="7"/>
        <v>223.21085205702065</v>
      </c>
      <c r="S20" s="73">
        <f>+S17*S19</f>
        <v>200.88976685131857</v>
      </c>
      <c r="T20" s="73">
        <f>+T17*T19</f>
        <v>190.84527850875264</v>
      </c>
      <c r="U20" s="73">
        <f>+U17*U19</f>
        <v>190.84527850875264</v>
      </c>
      <c r="V20" s="73">
        <f>+V17*V19</f>
        <v>190.84527850875264</v>
      </c>
      <c r="X20" s="9"/>
      <c r="Y20" s="11"/>
    </row>
    <row r="21" spans="1:25" s="2" customFormat="1" ht="12.75">
      <c r="A21" s="29"/>
      <c r="B21" s="66"/>
      <c r="C21" s="136"/>
      <c r="D21" s="36"/>
      <c r="E21" s="159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X21" s="9"/>
      <c r="Y21" s="11"/>
    </row>
    <row r="22" spans="1:25" s="2" customFormat="1" ht="12.75">
      <c r="A22" s="29"/>
      <c r="B22" s="66" t="s">
        <v>74</v>
      </c>
      <c r="C22" s="136"/>
      <c r="D22" s="148">
        <f>+D12+D17</f>
        <v>313.3</v>
      </c>
      <c r="E22" s="155">
        <v>289.1</v>
      </c>
      <c r="F22" s="12">
        <f aca="true" t="shared" si="8" ref="F22:R22">+F12+F17</f>
        <v>282.09195</v>
      </c>
      <c r="G22" s="12">
        <f t="shared" si="8"/>
        <v>275.520782075</v>
      </c>
      <c r="H22" s="12">
        <f t="shared" si="8"/>
        <v>269.3701652908875</v>
      </c>
      <c r="I22" s="12">
        <f t="shared" si="8"/>
        <v>263.62455234188764</v>
      </c>
      <c r="J22" s="12">
        <f t="shared" si="8"/>
        <v>258.2691465349293</v>
      </c>
      <c r="K22" s="12">
        <f t="shared" si="8"/>
        <v>253.28987025963897</v>
      </c>
      <c r="L22" s="12">
        <f t="shared" si="8"/>
        <v>248.673334879337</v>
      </c>
      <c r="M22" s="12">
        <f t="shared" si="8"/>
        <v>244.40681198126856</v>
      </c>
      <c r="N22" s="12">
        <f t="shared" si="8"/>
        <v>240.47820592703917</v>
      </c>
      <c r="O22" s="12">
        <f t="shared" si="8"/>
        <v>236.87602764683714</v>
      </c>
      <c r="P22" s="12">
        <f t="shared" si="8"/>
        <v>233.58936962352723</v>
      </c>
      <c r="Q22" s="12">
        <f t="shared" si="8"/>
        <v>934.3574784941089</v>
      </c>
      <c r="R22" s="12">
        <f t="shared" si="8"/>
        <v>925.8690234267021</v>
      </c>
      <c r="S22" s="12">
        <f>+S12+S17</f>
        <v>959.4612391779617</v>
      </c>
      <c r="T22" s="12">
        <f>+T12+T17</f>
        <v>1027.572965865479</v>
      </c>
      <c r="U22" s="12">
        <f>+U12+U17</f>
        <v>1127.6960960730125</v>
      </c>
      <c r="V22" s="12">
        <f>+V12+V17</f>
        <v>1242.8376958116758</v>
      </c>
      <c r="X22" s="9"/>
      <c r="Y22" s="11"/>
    </row>
    <row r="23" spans="1:25" s="25" customFormat="1" ht="13.5" thickBot="1">
      <c r="A23" s="30" t="s">
        <v>14</v>
      </c>
      <c r="B23" s="30" t="s">
        <v>99</v>
      </c>
      <c r="C23" s="139"/>
      <c r="D23" s="74">
        <f>+D15+D20</f>
        <v>147.11</v>
      </c>
      <c r="E23" s="72">
        <v>146</v>
      </c>
      <c r="F23" s="74">
        <f aca="true" t="shared" si="9" ref="F23:R23">+F15+F20</f>
        <v>141.97566000000003</v>
      </c>
      <c r="G23" s="74">
        <f t="shared" si="9"/>
        <v>137.13652313400002</v>
      </c>
      <c r="H23" s="74">
        <f t="shared" si="9"/>
        <v>132.603732785923</v>
      </c>
      <c r="I23" s="74">
        <f t="shared" si="9"/>
        <v>129.21183827286208</v>
      </c>
      <c r="J23" s="74">
        <f t="shared" si="9"/>
        <v>125.21284402395722</v>
      </c>
      <c r="K23" s="74">
        <f t="shared" si="9"/>
        <v>121.4816995316556</v>
      </c>
      <c r="L23" s="74">
        <f t="shared" si="9"/>
        <v>118.74779231671158</v>
      </c>
      <c r="M23" s="74">
        <f t="shared" si="9"/>
        <v>116.19293098942524</v>
      </c>
      <c r="N23" s="74">
        <f t="shared" si="9"/>
        <v>113.8105594950691</v>
      </c>
      <c r="O23" s="74">
        <f t="shared" si="9"/>
        <v>111.59443998952113</v>
      </c>
      <c r="P23" s="74">
        <f t="shared" si="9"/>
        <v>109.53863950724258</v>
      </c>
      <c r="Q23" s="74">
        <f t="shared" si="9"/>
        <v>438.1545580289703</v>
      </c>
      <c r="R23" s="74">
        <f t="shared" si="9"/>
        <v>425.0974410073086</v>
      </c>
      <c r="S23" s="74">
        <f>+S15+S20</f>
        <v>433.0593441441497</v>
      </c>
      <c r="T23" s="74">
        <f>+T15+T20</f>
        <v>457.84029239550836</v>
      </c>
      <c r="U23" s="74">
        <f>+U15+U20</f>
        <v>497.8895444785217</v>
      </c>
      <c r="V23" s="74">
        <f>+V15+V20</f>
        <v>543.9461843739871</v>
      </c>
      <c r="X23" s="27"/>
      <c r="Y23" s="28"/>
    </row>
    <row r="24" spans="1:25" s="25" customFormat="1" ht="13.5" thickTop="1">
      <c r="A24" s="30"/>
      <c r="B24" s="25" t="s">
        <v>75</v>
      </c>
      <c r="C24" s="139"/>
      <c r="D24" s="76">
        <f>+D23/D22</f>
        <v>0.4695499521225663</v>
      </c>
      <c r="E24" s="160">
        <f>+E23/E22</f>
        <v>0.5050155655482531</v>
      </c>
      <c r="F24" s="76">
        <f>+F23/F22</f>
        <v>0.5032956807168728</v>
      </c>
      <c r="G24" s="76">
        <f aca="true" t="shared" si="10" ref="G24:R24">+G23/G22</f>
        <v>0.4977356775093279</v>
      </c>
      <c r="H24" s="76">
        <f t="shared" si="10"/>
        <v>0.49227327251600733</v>
      </c>
      <c r="I24" s="76">
        <f t="shared" si="10"/>
        <v>0.4901358281124389</v>
      </c>
      <c r="J24" s="76">
        <f t="shared" si="10"/>
        <v>0.48481533974877233</v>
      </c>
      <c r="K24" s="76">
        <f t="shared" si="10"/>
        <v>0.4796153095547357</v>
      </c>
      <c r="L24" s="76">
        <f t="shared" si="10"/>
        <v>0.4775252335532123</v>
      </c>
      <c r="M24" s="76">
        <f t="shared" si="10"/>
        <v>0.47540790719994463</v>
      </c>
      <c r="N24" s="76">
        <f t="shared" si="10"/>
        <v>0.47326766704837736</v>
      </c>
      <c r="O24" s="76">
        <f t="shared" si="10"/>
        <v>0.4711090484677468</v>
      </c>
      <c r="P24" s="76">
        <f t="shared" si="10"/>
        <v>0.4689367486362264</v>
      </c>
      <c r="Q24" s="76">
        <f t="shared" si="10"/>
        <v>0.4689367486362264</v>
      </c>
      <c r="R24" s="76">
        <f t="shared" si="10"/>
        <v>0.45913345219607304</v>
      </c>
      <c r="S24" s="76">
        <f>+S23/S22</f>
        <v>0.45135678906130927</v>
      </c>
      <c r="T24" s="76">
        <f>+T23/T22</f>
        <v>0.44555501906367284</v>
      </c>
      <c r="U24" s="76">
        <f>+U23/U22</f>
        <v>0.4415103911526585</v>
      </c>
      <c r="V24" s="76">
        <f>+V23/V22</f>
        <v>0.43766469765687727</v>
      </c>
      <c r="X24" s="27"/>
      <c r="Y24" s="28"/>
    </row>
    <row r="25" spans="1:25" s="2" customFormat="1" ht="12.75">
      <c r="A25" s="29"/>
      <c r="B25" s="94"/>
      <c r="C25" s="136"/>
      <c r="D25" s="140"/>
      <c r="E25" s="154"/>
      <c r="X25" s="9"/>
      <c r="Y25" s="11"/>
    </row>
    <row r="26" spans="1:25" s="25" customFormat="1" ht="12.75">
      <c r="A26" s="30"/>
      <c r="B26" s="24"/>
      <c r="C26" s="139"/>
      <c r="D26" s="36"/>
      <c r="E26" s="159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X26" s="27"/>
      <c r="Y26" s="28"/>
    </row>
    <row r="27" spans="1:25" s="2" customFormat="1" ht="12.75">
      <c r="A27" s="29"/>
      <c r="B27" s="48" t="s">
        <v>44</v>
      </c>
      <c r="C27" s="140"/>
      <c r="D27" s="148"/>
      <c r="E27" s="15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29"/>
      <c r="B28" s="24" t="s">
        <v>15</v>
      </c>
      <c r="C28" s="140"/>
      <c r="D28" s="148"/>
      <c r="E28" s="15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29"/>
      <c r="B29" s="1" t="s">
        <v>78</v>
      </c>
      <c r="C29" s="140"/>
      <c r="D29" s="148">
        <f>266*0.05/4</f>
        <v>3.325</v>
      </c>
      <c r="E29" s="155">
        <v>2.07</v>
      </c>
      <c r="F29" s="12">
        <v>1.7825</v>
      </c>
      <c r="G29" s="1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29"/>
      <c r="B30" s="1" t="s">
        <v>79</v>
      </c>
      <c r="C30" s="140"/>
      <c r="D30" s="148"/>
      <c r="E30" s="155">
        <f>+Y68/4</f>
        <v>2.629</v>
      </c>
      <c r="F30" s="12">
        <f>+E30</f>
        <v>2.629</v>
      </c>
      <c r="G30" s="12">
        <f>+F30</f>
        <v>2.629</v>
      </c>
      <c r="H30" s="12">
        <f>+G30</f>
        <v>2.629</v>
      </c>
      <c r="I30" s="12">
        <f>+H30*0.5</f>
        <v>1.3145</v>
      </c>
      <c r="J30" s="12"/>
      <c r="K30" s="12"/>
      <c r="L30" s="12"/>
      <c r="M30" s="26">
        <v>1.65</v>
      </c>
      <c r="N30" s="26">
        <v>1.65</v>
      </c>
      <c r="O30" s="26">
        <v>1.65</v>
      </c>
      <c r="P30" s="26">
        <v>1.65</v>
      </c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29"/>
      <c r="B31" s="1" t="s">
        <v>23</v>
      </c>
      <c r="C31" s="178"/>
      <c r="D31" s="148">
        <v>0</v>
      </c>
      <c r="E31" s="155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29"/>
      <c r="B32" s="1" t="s">
        <v>32</v>
      </c>
      <c r="C32" s="140"/>
      <c r="D32" s="148">
        <f aca="true" t="shared" si="11" ref="D32:K32">+$Y71/4</f>
        <v>2.875</v>
      </c>
      <c r="E32" s="155">
        <f t="shared" si="11"/>
        <v>2.875</v>
      </c>
      <c r="F32" s="12">
        <f t="shared" si="11"/>
        <v>2.875</v>
      </c>
      <c r="G32" s="12">
        <f t="shared" si="11"/>
        <v>2.875</v>
      </c>
      <c r="H32" s="12">
        <f t="shared" si="11"/>
        <v>2.875</v>
      </c>
      <c r="I32" s="12">
        <f t="shared" si="11"/>
        <v>2.875</v>
      </c>
      <c r="J32" s="12">
        <f t="shared" si="11"/>
        <v>2.875</v>
      </c>
      <c r="K32" s="12">
        <f t="shared" si="11"/>
        <v>2.875</v>
      </c>
      <c r="L32" s="118">
        <v>0.9</v>
      </c>
      <c r="M32" s="118">
        <f>+$Y71/4*0</f>
        <v>0</v>
      </c>
      <c r="N32" s="118">
        <f>+M32</f>
        <v>0</v>
      </c>
      <c r="O32" s="118">
        <f>+N32</f>
        <v>0</v>
      </c>
      <c r="P32" s="118">
        <f>+O32</f>
        <v>0</v>
      </c>
      <c r="Q32" s="118">
        <f>+P32*4</f>
        <v>0</v>
      </c>
      <c r="R32" s="118">
        <f>+Q32</f>
        <v>0</v>
      </c>
      <c r="S32" s="118">
        <f>+R32</f>
        <v>0</v>
      </c>
      <c r="T32" s="118">
        <f>+S32</f>
        <v>0</v>
      </c>
      <c r="U32" s="118">
        <f>+T32</f>
        <v>0</v>
      </c>
      <c r="V32" s="118">
        <f>+U32</f>
        <v>0</v>
      </c>
      <c r="X32" s="9"/>
      <c r="Y32" s="11"/>
    </row>
    <row r="33" spans="1:25" s="2" customFormat="1" ht="12.75">
      <c r="A33" s="29"/>
      <c r="B33" s="1" t="s">
        <v>13</v>
      </c>
      <c r="C33" s="140"/>
      <c r="D33" s="148"/>
      <c r="E33" s="15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29"/>
      <c r="B34" s="7" t="s">
        <v>25</v>
      </c>
      <c r="C34" s="140"/>
      <c r="D34" s="148">
        <f aca="true" t="shared" si="12" ref="D34:P41">+$Y73/4</f>
        <v>2.1125000000000003</v>
      </c>
      <c r="E34" s="155">
        <f t="shared" si="12"/>
        <v>2.1125000000000003</v>
      </c>
      <c r="F34" s="12">
        <f t="shared" si="12"/>
        <v>2.1125000000000003</v>
      </c>
      <c r="G34" s="12">
        <f t="shared" si="12"/>
        <v>2.1125000000000003</v>
      </c>
      <c r="H34" s="12">
        <f t="shared" si="12"/>
        <v>2.1125000000000003</v>
      </c>
      <c r="I34" s="12">
        <f t="shared" si="12"/>
        <v>2.1125000000000003</v>
      </c>
      <c r="J34" s="12">
        <f t="shared" si="12"/>
        <v>2.1125000000000003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29"/>
      <c r="B35" s="1" t="s">
        <v>24</v>
      </c>
      <c r="C35" s="140"/>
      <c r="D35" s="148">
        <f t="shared" si="12"/>
        <v>2.140625</v>
      </c>
      <c r="E35" s="155">
        <f t="shared" si="12"/>
        <v>2.140625</v>
      </c>
      <c r="F35" s="12">
        <f t="shared" si="12"/>
        <v>2.140625</v>
      </c>
      <c r="G35" s="12">
        <f t="shared" si="12"/>
        <v>2.140625</v>
      </c>
      <c r="H35" s="12">
        <f t="shared" si="12"/>
        <v>2.140625</v>
      </c>
      <c r="I35" s="12">
        <f t="shared" si="12"/>
        <v>2.140625</v>
      </c>
      <c r="J35" s="12">
        <f t="shared" si="12"/>
        <v>2.140625</v>
      </c>
      <c r="K35" s="12">
        <f t="shared" si="12"/>
        <v>2.140625</v>
      </c>
      <c r="L35" s="12">
        <f t="shared" si="12"/>
        <v>2.140625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29"/>
      <c r="B36" s="1" t="s">
        <v>26</v>
      </c>
      <c r="C36" s="140"/>
      <c r="D36" s="148">
        <f t="shared" si="12"/>
        <v>3.640125</v>
      </c>
      <c r="E36" s="155">
        <f t="shared" si="12"/>
        <v>3.640125</v>
      </c>
      <c r="F36" s="12">
        <f t="shared" si="12"/>
        <v>3.640125</v>
      </c>
      <c r="G36" s="12">
        <f t="shared" si="12"/>
        <v>3.640125</v>
      </c>
      <c r="H36" s="12">
        <f t="shared" si="12"/>
        <v>3.640125</v>
      </c>
      <c r="I36" s="12">
        <f t="shared" si="12"/>
        <v>3.640125</v>
      </c>
      <c r="J36" s="12">
        <f t="shared" si="12"/>
        <v>3.640125</v>
      </c>
      <c r="K36" s="12">
        <f t="shared" si="12"/>
        <v>3.640125</v>
      </c>
      <c r="L36" s="12">
        <f t="shared" si="12"/>
        <v>3.640125</v>
      </c>
      <c r="M36" s="12">
        <f t="shared" si="12"/>
        <v>3.640125</v>
      </c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29"/>
      <c r="B37" s="1" t="s">
        <v>27</v>
      </c>
      <c r="C37" s="140"/>
      <c r="D37" s="148">
        <f t="shared" si="12"/>
        <v>2.5185</v>
      </c>
      <c r="E37" s="155">
        <f t="shared" si="12"/>
        <v>2.5185</v>
      </c>
      <c r="F37" s="12">
        <f t="shared" si="12"/>
        <v>2.5185</v>
      </c>
      <c r="G37" s="12">
        <f t="shared" si="12"/>
        <v>2.5185</v>
      </c>
      <c r="H37" s="12">
        <f t="shared" si="12"/>
        <v>2.5185</v>
      </c>
      <c r="I37" s="12">
        <f t="shared" si="12"/>
        <v>2.5185</v>
      </c>
      <c r="J37" s="12">
        <f t="shared" si="12"/>
        <v>2.5185</v>
      </c>
      <c r="K37" s="12">
        <f t="shared" si="12"/>
        <v>2.5185</v>
      </c>
      <c r="L37" s="12">
        <f t="shared" si="12"/>
        <v>2.5185</v>
      </c>
      <c r="M37" s="12">
        <f t="shared" si="12"/>
        <v>2.5185</v>
      </c>
      <c r="N37" s="12">
        <f t="shared" si="12"/>
        <v>2.5185</v>
      </c>
      <c r="O37" s="12">
        <f t="shared" si="12"/>
        <v>2.5185</v>
      </c>
      <c r="P37" s="12">
        <f t="shared" si="12"/>
        <v>2.5185</v>
      </c>
      <c r="Q37" s="12">
        <v>1.5</v>
      </c>
      <c r="R37" s="12"/>
      <c r="S37" s="12"/>
      <c r="T37" s="12"/>
      <c r="U37" s="12"/>
      <c r="V37" s="12"/>
      <c r="X37" s="9"/>
      <c r="Y37" s="11"/>
    </row>
    <row r="38" spans="1:25" s="2" customFormat="1" ht="12.75">
      <c r="A38" s="29"/>
      <c r="B38" s="1" t="s">
        <v>28</v>
      </c>
      <c r="C38" s="140"/>
      <c r="D38" s="148">
        <f t="shared" si="12"/>
        <v>4.2</v>
      </c>
      <c r="E38" s="155">
        <f t="shared" si="12"/>
        <v>4.2</v>
      </c>
      <c r="F38" s="12">
        <f t="shared" si="12"/>
        <v>4.2</v>
      </c>
      <c r="G38" s="12">
        <f t="shared" si="12"/>
        <v>4.2</v>
      </c>
      <c r="H38" s="12">
        <f t="shared" si="12"/>
        <v>4.2</v>
      </c>
      <c r="I38" s="12">
        <f t="shared" si="12"/>
        <v>4.2</v>
      </c>
      <c r="J38" s="12">
        <f t="shared" si="12"/>
        <v>4.2</v>
      </c>
      <c r="K38" s="12">
        <f t="shared" si="12"/>
        <v>4.2</v>
      </c>
      <c r="L38" s="12">
        <f t="shared" si="12"/>
        <v>4.2</v>
      </c>
      <c r="M38" s="12">
        <f t="shared" si="12"/>
        <v>4.2</v>
      </c>
      <c r="N38" s="12">
        <f t="shared" si="12"/>
        <v>4.2</v>
      </c>
      <c r="O38" s="12">
        <f t="shared" si="12"/>
        <v>4.2</v>
      </c>
      <c r="P38" s="12">
        <f t="shared" si="12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29"/>
      <c r="B39" s="1" t="s">
        <v>29</v>
      </c>
      <c r="C39" s="140"/>
      <c r="D39" s="148">
        <f t="shared" si="12"/>
        <v>1.769625</v>
      </c>
      <c r="E39" s="155">
        <f t="shared" si="12"/>
        <v>1.769625</v>
      </c>
      <c r="F39" s="12">
        <f t="shared" si="12"/>
        <v>1.769625</v>
      </c>
      <c r="G39" s="12">
        <f t="shared" si="12"/>
        <v>1.769625</v>
      </c>
      <c r="H39" s="12">
        <f t="shared" si="12"/>
        <v>1.769625</v>
      </c>
      <c r="I39" s="12">
        <f t="shared" si="12"/>
        <v>1.769625</v>
      </c>
      <c r="J39" s="12">
        <f t="shared" si="12"/>
        <v>1.769625</v>
      </c>
      <c r="K39" s="12">
        <f t="shared" si="12"/>
        <v>1.769625</v>
      </c>
      <c r="L39" s="12">
        <f t="shared" si="12"/>
        <v>1.769625</v>
      </c>
      <c r="M39" s="12">
        <f t="shared" si="12"/>
        <v>1.769625</v>
      </c>
      <c r="N39" s="12">
        <f t="shared" si="12"/>
        <v>1.769625</v>
      </c>
      <c r="O39" s="12">
        <f t="shared" si="12"/>
        <v>1.769625</v>
      </c>
      <c r="P39" s="12">
        <f t="shared" si="12"/>
        <v>1.769625</v>
      </c>
      <c r="Q39" s="12">
        <f>+P39*4</f>
        <v>7.0785</v>
      </c>
      <c r="R39" s="12">
        <f aca="true" t="shared" si="13" ref="R39:T41">+Q39</f>
        <v>7.0785</v>
      </c>
      <c r="S39" s="12">
        <f t="shared" si="13"/>
        <v>7.0785</v>
      </c>
      <c r="T39" s="12">
        <f t="shared" si="13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29"/>
      <c r="B40" s="1" t="s">
        <v>30</v>
      </c>
      <c r="C40" s="140"/>
      <c r="D40" s="148">
        <f t="shared" si="12"/>
        <v>5.8125</v>
      </c>
      <c r="E40" s="155">
        <f t="shared" si="12"/>
        <v>5.8125</v>
      </c>
      <c r="F40" s="12">
        <f t="shared" si="12"/>
        <v>5.8125</v>
      </c>
      <c r="G40" s="12">
        <f t="shared" si="12"/>
        <v>5.8125</v>
      </c>
      <c r="H40" s="12">
        <f t="shared" si="12"/>
        <v>5.8125</v>
      </c>
      <c r="I40" s="12">
        <f t="shared" si="12"/>
        <v>5.8125</v>
      </c>
      <c r="J40" s="12">
        <f t="shared" si="12"/>
        <v>5.8125</v>
      </c>
      <c r="K40" s="12">
        <f t="shared" si="12"/>
        <v>5.8125</v>
      </c>
      <c r="L40" s="12">
        <f t="shared" si="12"/>
        <v>5.8125</v>
      </c>
      <c r="M40" s="12">
        <f t="shared" si="12"/>
        <v>5.8125</v>
      </c>
      <c r="N40" s="12">
        <f t="shared" si="12"/>
        <v>5.8125</v>
      </c>
      <c r="O40" s="12">
        <f t="shared" si="12"/>
        <v>5.8125</v>
      </c>
      <c r="P40" s="12">
        <f t="shared" si="12"/>
        <v>5.8125</v>
      </c>
      <c r="Q40" s="12">
        <f>+P40*4</f>
        <v>23.25</v>
      </c>
      <c r="R40" s="12">
        <f t="shared" si="13"/>
        <v>23.25</v>
      </c>
      <c r="S40" s="12">
        <f t="shared" si="13"/>
        <v>23.25</v>
      </c>
      <c r="T40" s="12">
        <f t="shared" si="13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29"/>
      <c r="B41" s="1" t="s">
        <v>31</v>
      </c>
      <c r="C41" s="140"/>
      <c r="D41" s="148">
        <f t="shared" si="12"/>
        <v>0.265625</v>
      </c>
      <c r="E41" s="155">
        <f t="shared" si="12"/>
        <v>0.265625</v>
      </c>
      <c r="F41" s="12">
        <f t="shared" si="12"/>
        <v>0.265625</v>
      </c>
      <c r="G41" s="12">
        <f t="shared" si="12"/>
        <v>0.265625</v>
      </c>
      <c r="H41" s="12">
        <f t="shared" si="12"/>
        <v>0.265625</v>
      </c>
      <c r="I41" s="12">
        <f t="shared" si="12"/>
        <v>0.265625</v>
      </c>
      <c r="J41" s="12">
        <f t="shared" si="12"/>
        <v>0.265625</v>
      </c>
      <c r="K41" s="12">
        <f t="shared" si="12"/>
        <v>0.265625</v>
      </c>
      <c r="L41" s="12">
        <f t="shared" si="12"/>
        <v>0.265625</v>
      </c>
      <c r="M41" s="12">
        <f t="shared" si="12"/>
        <v>0.265625</v>
      </c>
      <c r="N41" s="12">
        <f t="shared" si="12"/>
        <v>0.265625</v>
      </c>
      <c r="O41" s="12">
        <f t="shared" si="12"/>
        <v>0.265625</v>
      </c>
      <c r="P41" s="12">
        <f t="shared" si="12"/>
        <v>0.265625</v>
      </c>
      <c r="Q41" s="12">
        <f>+P41*4</f>
        <v>1.0625</v>
      </c>
      <c r="R41" s="12">
        <f t="shared" si="13"/>
        <v>1.0625</v>
      </c>
      <c r="S41" s="12">
        <f t="shared" si="13"/>
        <v>1.0625</v>
      </c>
      <c r="T41" s="12">
        <f t="shared" si="13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" customFormat="1" ht="12.75">
      <c r="A42" s="29"/>
      <c r="B42" s="18" t="s">
        <v>88</v>
      </c>
      <c r="C42" s="140"/>
      <c r="D42" s="148">
        <f>35.6-28.7</f>
        <v>6.900000000000002</v>
      </c>
      <c r="E42" s="155">
        <f>32.9-30</f>
        <v>2.8999999999999986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29"/>
      <c r="B43" s="18"/>
      <c r="C43" s="140"/>
      <c r="D43" s="148"/>
      <c r="E43" s="15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29" t="s">
        <v>105</v>
      </c>
      <c r="B44" s="18" t="s">
        <v>101</v>
      </c>
      <c r="C44" s="140"/>
      <c r="D44" s="148"/>
      <c r="E44" s="155">
        <v>1.9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X44" s="9"/>
      <c r="Y44" s="11"/>
    </row>
    <row r="45" spans="1:25" s="2" customFormat="1" ht="12.75">
      <c r="A45" s="29"/>
      <c r="B45" s="24"/>
      <c r="C45" s="140"/>
      <c r="D45" s="148"/>
      <c r="E45" s="15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29"/>
      <c r="B46" s="24" t="s">
        <v>103</v>
      </c>
      <c r="C46" s="140"/>
      <c r="D46" s="148">
        <v>27.3</v>
      </c>
      <c r="E46" s="169">
        <v>29.8</v>
      </c>
      <c r="F46" s="12">
        <f>+(125-$E$46)/3</f>
        <v>31.733333333333334</v>
      </c>
      <c r="G46" s="12">
        <f aca="true" t="shared" si="14" ref="G46:P46">+F46</f>
        <v>31.733333333333334</v>
      </c>
      <c r="H46" s="12">
        <f t="shared" si="14"/>
        <v>31.733333333333334</v>
      </c>
      <c r="I46" s="12">
        <v>35</v>
      </c>
      <c r="J46" s="12">
        <f t="shared" si="14"/>
        <v>35</v>
      </c>
      <c r="K46" s="12">
        <f t="shared" si="14"/>
        <v>35</v>
      </c>
      <c r="L46" s="12">
        <f t="shared" si="14"/>
        <v>35</v>
      </c>
      <c r="M46" s="12">
        <f t="shared" si="14"/>
        <v>35</v>
      </c>
      <c r="N46" s="12">
        <f t="shared" si="14"/>
        <v>35</v>
      </c>
      <c r="O46" s="12">
        <f t="shared" si="14"/>
        <v>35</v>
      </c>
      <c r="P46" s="12">
        <f t="shared" si="14"/>
        <v>35</v>
      </c>
      <c r="Q46" s="12">
        <f>+P46*4</f>
        <v>140</v>
      </c>
      <c r="R46" s="12">
        <f>+Q46</f>
        <v>140</v>
      </c>
      <c r="S46" s="12">
        <f>+R46</f>
        <v>140</v>
      </c>
      <c r="T46" s="12">
        <f>+S46</f>
        <v>140</v>
      </c>
      <c r="U46" s="12">
        <f>+T46</f>
        <v>140</v>
      </c>
      <c r="V46" s="12">
        <f>+U46</f>
        <v>140</v>
      </c>
      <c r="X46" s="9"/>
      <c r="Y46" s="11"/>
    </row>
    <row r="47" spans="1:25" s="2" customFormat="1" ht="12.75">
      <c r="A47" s="29"/>
      <c r="C47" s="140"/>
      <c r="D47" s="148"/>
      <c r="E47" s="15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X47" s="9"/>
      <c r="Y47" s="11"/>
    </row>
    <row r="48" spans="1:25" s="2" customFormat="1" ht="12.75">
      <c r="A48" s="29"/>
      <c r="B48" s="24" t="s">
        <v>66</v>
      </c>
      <c r="C48" s="140"/>
      <c r="D48" s="148">
        <v>14.7</v>
      </c>
      <c r="E48" s="155">
        <v>8.2</v>
      </c>
      <c r="F48" s="12">
        <v>12.5</v>
      </c>
      <c r="G48" s="12">
        <f aca="true" t="shared" si="15" ref="G48:P48">+F48</f>
        <v>12.5</v>
      </c>
      <c r="H48" s="12">
        <f t="shared" si="15"/>
        <v>12.5</v>
      </c>
      <c r="I48" s="12">
        <f t="shared" si="15"/>
        <v>12.5</v>
      </c>
      <c r="J48" s="12">
        <f t="shared" si="15"/>
        <v>12.5</v>
      </c>
      <c r="K48" s="12">
        <f t="shared" si="15"/>
        <v>12.5</v>
      </c>
      <c r="L48" s="12">
        <f t="shared" si="15"/>
        <v>12.5</v>
      </c>
      <c r="M48" s="12">
        <f t="shared" si="15"/>
        <v>12.5</v>
      </c>
      <c r="N48" s="12">
        <f t="shared" si="15"/>
        <v>12.5</v>
      </c>
      <c r="O48" s="12">
        <f t="shared" si="15"/>
        <v>12.5</v>
      </c>
      <c r="P48" s="12">
        <f t="shared" si="15"/>
        <v>12.5</v>
      </c>
      <c r="Q48" s="12">
        <f>+P48*4</f>
        <v>50</v>
      </c>
      <c r="R48" s="12">
        <f>+Q48</f>
        <v>50</v>
      </c>
      <c r="S48" s="12">
        <f>+R48</f>
        <v>50</v>
      </c>
      <c r="T48" s="12">
        <f>+S48</f>
        <v>50</v>
      </c>
      <c r="U48" s="12">
        <f>+T48</f>
        <v>50</v>
      </c>
      <c r="V48" s="12">
        <f>+U48</f>
        <v>50</v>
      </c>
      <c r="X48" s="9"/>
      <c r="Y48" s="11"/>
    </row>
    <row r="49" spans="1:25" s="2" customFormat="1" ht="12.75">
      <c r="A49" s="29" t="s">
        <v>105</v>
      </c>
      <c r="B49" s="24" t="s">
        <v>102</v>
      </c>
      <c r="C49" s="140"/>
      <c r="D49" s="148">
        <v>0</v>
      </c>
      <c r="E49" s="155">
        <v>13.036</v>
      </c>
      <c r="F49" s="12">
        <v>0</v>
      </c>
      <c r="G49" s="12">
        <v>0</v>
      </c>
      <c r="H49" s="12">
        <v>0</v>
      </c>
      <c r="I49" s="26">
        <v>13</v>
      </c>
      <c r="J49" s="12">
        <v>0</v>
      </c>
      <c r="K49" s="12">
        <v>0</v>
      </c>
      <c r="L49" s="12">
        <v>0</v>
      </c>
      <c r="M49" s="26">
        <v>13</v>
      </c>
      <c r="N49" s="12">
        <v>0</v>
      </c>
      <c r="O49" s="12">
        <v>0</v>
      </c>
      <c r="P49" s="12">
        <v>0</v>
      </c>
      <c r="Q49" s="26">
        <v>13</v>
      </c>
      <c r="R49" s="26">
        <v>13</v>
      </c>
      <c r="S49" s="12">
        <v>0</v>
      </c>
      <c r="T49" s="12">
        <v>0</v>
      </c>
      <c r="U49" s="12">
        <v>0</v>
      </c>
      <c r="V49" s="12">
        <v>0</v>
      </c>
      <c r="X49" s="9"/>
      <c r="Y49" s="11"/>
    </row>
    <row r="50" spans="1:25" s="2" customFormat="1" ht="12.75">
      <c r="A50" s="29" t="s">
        <v>105</v>
      </c>
      <c r="B50" s="24" t="s">
        <v>104</v>
      </c>
      <c r="C50" s="140"/>
      <c r="D50" s="148"/>
      <c r="E50" s="155">
        <f>42.736+(315.3-310.1)</f>
        <v>47.935999999999986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X50" s="9"/>
      <c r="Y50" s="11"/>
    </row>
    <row r="51" spans="1:25" s="2" customFormat="1" ht="12.75">
      <c r="A51" s="29"/>
      <c r="C51" s="140"/>
      <c r="D51" s="148"/>
      <c r="E51" s="155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X51" s="9"/>
      <c r="Y51" s="11"/>
    </row>
    <row r="52" spans="1:25" s="2" customFormat="1" ht="12.75">
      <c r="A52" s="29"/>
      <c r="B52" s="24" t="s">
        <v>89</v>
      </c>
      <c r="C52" s="140"/>
      <c r="D52" s="148">
        <v>2.9</v>
      </c>
      <c r="E52" s="155"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X52" s="9"/>
      <c r="Y52" s="11"/>
    </row>
    <row r="53" spans="1:25" s="2" customFormat="1" ht="12.75">
      <c r="A53" s="29"/>
      <c r="B53" s="2" t="s">
        <v>90</v>
      </c>
      <c r="C53" s="140"/>
      <c r="D53" s="148">
        <v>0.5</v>
      </c>
      <c r="E53" s="15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X53" s="9"/>
      <c r="Y53" s="11"/>
    </row>
    <row r="54" spans="1:25" s="2" customFormat="1" ht="12.75">
      <c r="A54" s="29"/>
      <c r="B54" s="24" t="s">
        <v>17</v>
      </c>
      <c r="C54" s="141" t="s">
        <v>94</v>
      </c>
      <c r="D54" s="148">
        <v>10</v>
      </c>
      <c r="E54" s="155">
        <v>0</v>
      </c>
      <c r="F54" s="12">
        <v>0</v>
      </c>
      <c r="G54" s="12">
        <f aca="true" t="shared" si="16" ref="G54:P54">+F54</f>
        <v>0</v>
      </c>
      <c r="H54" s="12">
        <f t="shared" si="16"/>
        <v>0</v>
      </c>
      <c r="I54" s="12">
        <f t="shared" si="16"/>
        <v>0</v>
      </c>
      <c r="J54" s="12">
        <f t="shared" si="16"/>
        <v>0</v>
      </c>
      <c r="K54" s="12">
        <f t="shared" si="16"/>
        <v>0</v>
      </c>
      <c r="L54" s="12">
        <f t="shared" si="16"/>
        <v>0</v>
      </c>
      <c r="M54" s="12">
        <f t="shared" si="16"/>
        <v>0</v>
      </c>
      <c r="N54" s="12">
        <f t="shared" si="16"/>
        <v>0</v>
      </c>
      <c r="O54" s="12">
        <f t="shared" si="16"/>
        <v>0</v>
      </c>
      <c r="P54" s="12">
        <f t="shared" si="16"/>
        <v>0</v>
      </c>
      <c r="Q54" s="12">
        <f>+P54*4</f>
        <v>0</v>
      </c>
      <c r="R54" s="12">
        <f>+Q54</f>
        <v>0</v>
      </c>
      <c r="S54" s="12">
        <f>+R54</f>
        <v>0</v>
      </c>
      <c r="T54" s="12">
        <f>+S54</f>
        <v>0</v>
      </c>
      <c r="U54" s="12">
        <f>+T54</f>
        <v>0</v>
      </c>
      <c r="V54" s="12">
        <f>+U54</f>
        <v>0</v>
      </c>
      <c r="X54" s="9"/>
      <c r="Y54" s="11"/>
    </row>
    <row r="55" spans="1:25" s="2" customFormat="1" ht="12.75">
      <c r="A55" s="29"/>
      <c r="C55" s="141"/>
      <c r="D55" s="13"/>
      <c r="E55" s="16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X55" s="9"/>
      <c r="Y55" s="11"/>
    </row>
    <row r="56" spans="1:25" s="25" customFormat="1" ht="12.75">
      <c r="A56" s="30" t="s">
        <v>37</v>
      </c>
      <c r="B56" s="24" t="s">
        <v>19</v>
      </c>
      <c r="C56" s="142"/>
      <c r="D56" s="36">
        <f>SUM(D28:D55)</f>
        <v>90.9595</v>
      </c>
      <c r="E56" s="159">
        <f>SUM(E28:E55)</f>
        <v>133.8055</v>
      </c>
      <c r="F56" s="26">
        <f aca="true" t="shared" si="17" ref="F56:R56">SUM(F28:F55)</f>
        <v>73.97933333333333</v>
      </c>
      <c r="G56" s="26">
        <f t="shared" si="17"/>
        <v>73.69183333333334</v>
      </c>
      <c r="H56" s="26">
        <f t="shared" si="17"/>
        <v>73.40433333333334</v>
      </c>
      <c r="I56" s="26">
        <f t="shared" si="17"/>
        <v>88.069</v>
      </c>
      <c r="J56" s="26">
        <f t="shared" si="17"/>
        <v>72.8345</v>
      </c>
      <c r="K56" s="26">
        <f t="shared" si="17"/>
        <v>70.72200000000001</v>
      </c>
      <c r="L56" s="26">
        <f t="shared" si="17"/>
        <v>68.747</v>
      </c>
      <c r="M56" s="26">
        <f t="shared" si="17"/>
        <v>80.356375</v>
      </c>
      <c r="N56" s="26">
        <f t="shared" si="17"/>
        <v>63.71625</v>
      </c>
      <c r="O56" s="26">
        <f t="shared" si="17"/>
        <v>63.71625</v>
      </c>
      <c r="P56" s="26">
        <f t="shared" si="17"/>
        <v>63.71625</v>
      </c>
      <c r="Q56" s="26">
        <f t="shared" si="17"/>
        <v>252.691</v>
      </c>
      <c r="R56" s="26">
        <f t="shared" si="17"/>
        <v>237.191</v>
      </c>
      <c r="S56" s="26">
        <f>SUM(S28:S55)</f>
        <v>221.391</v>
      </c>
      <c r="T56" s="26">
        <f>SUM(T28:T55)</f>
        <v>221.391</v>
      </c>
      <c r="U56" s="26">
        <f>SUM(U28:U55)</f>
        <v>220.68315</v>
      </c>
      <c r="V56" s="26">
        <f>SUM(V28:V55)</f>
        <v>196.875</v>
      </c>
      <c r="X56" s="27"/>
      <c r="Y56" s="28"/>
    </row>
    <row r="57" spans="1:25" s="25" customFormat="1" ht="12.75">
      <c r="A57" s="30"/>
      <c r="B57" s="24"/>
      <c r="C57" s="142"/>
      <c r="D57" s="36"/>
      <c r="E57" s="159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X57" s="27"/>
      <c r="Y57" s="28"/>
    </row>
    <row r="58" spans="1:25" s="25" customFormat="1" ht="12.75">
      <c r="A58" s="30"/>
      <c r="B58" s="3" t="s">
        <v>33</v>
      </c>
      <c r="C58" s="136"/>
      <c r="D58" s="148">
        <v>52</v>
      </c>
      <c r="E58" s="159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X58" s="27"/>
      <c r="Y58" s="28"/>
    </row>
    <row r="59" spans="1:25" s="2" customFormat="1" ht="12.75">
      <c r="A59" s="29"/>
      <c r="B59" s="3" t="s">
        <v>51</v>
      </c>
      <c r="C59" s="136"/>
      <c r="D59" s="13">
        <v>72</v>
      </c>
      <c r="E59" s="161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X59" s="9"/>
      <c r="Y59" s="11"/>
    </row>
    <row r="60" spans="1:25" s="25" customFormat="1" ht="13.5" thickBot="1">
      <c r="A60" s="30" t="s">
        <v>38</v>
      </c>
      <c r="B60" s="24" t="s">
        <v>40</v>
      </c>
      <c r="C60" s="143" t="s">
        <v>41</v>
      </c>
      <c r="D60" s="31">
        <f>+D23-D56+D59+D58</f>
        <v>180.15050000000002</v>
      </c>
      <c r="E60" s="162">
        <f aca="true" t="shared" si="18" ref="E60:V60">+E23-E56</f>
        <v>12.194500000000005</v>
      </c>
      <c r="F60" s="31">
        <f t="shared" si="18"/>
        <v>67.9963266666667</v>
      </c>
      <c r="G60" s="31">
        <f t="shared" si="18"/>
        <v>63.44468980066668</v>
      </c>
      <c r="H60" s="31">
        <f t="shared" si="18"/>
        <v>59.19939945258966</v>
      </c>
      <c r="I60" s="31">
        <f t="shared" si="18"/>
        <v>41.14283827286208</v>
      </c>
      <c r="J60" s="31">
        <f t="shared" si="18"/>
        <v>52.37834402395721</v>
      </c>
      <c r="K60" s="31">
        <f t="shared" si="18"/>
        <v>50.759699531655585</v>
      </c>
      <c r="L60" s="31">
        <f t="shared" si="18"/>
        <v>50.00079231671158</v>
      </c>
      <c r="M60" s="31">
        <f t="shared" si="18"/>
        <v>35.836555989425236</v>
      </c>
      <c r="N60" s="31">
        <f t="shared" si="18"/>
        <v>50.0943094950691</v>
      </c>
      <c r="O60" s="31">
        <f t="shared" si="18"/>
        <v>47.87818998952113</v>
      </c>
      <c r="P60" s="31">
        <f t="shared" si="18"/>
        <v>45.822389507242576</v>
      </c>
      <c r="Q60" s="133">
        <f t="shared" si="18"/>
        <v>185.4635580289703</v>
      </c>
      <c r="R60" s="133">
        <f t="shared" si="18"/>
        <v>187.9064410073086</v>
      </c>
      <c r="S60" s="133">
        <f t="shared" si="18"/>
        <v>211.6683441441497</v>
      </c>
      <c r="T60" s="133">
        <f t="shared" si="18"/>
        <v>236.44929239550837</v>
      </c>
      <c r="U60" s="133">
        <f t="shared" si="18"/>
        <v>277.2063944785217</v>
      </c>
      <c r="V60" s="133">
        <f t="shared" si="18"/>
        <v>347.0711843739871</v>
      </c>
      <c r="X60" s="27"/>
      <c r="Y60" s="28"/>
    </row>
    <row r="61" spans="1:25" s="25" customFormat="1" ht="13.5" thickTop="1">
      <c r="A61" s="30"/>
      <c r="B61" s="24"/>
      <c r="C61" s="143"/>
      <c r="D61" s="36"/>
      <c r="E61" s="159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X61" s="27"/>
      <c r="Y61" s="28"/>
    </row>
    <row r="62" spans="1:25" s="25" customFormat="1" ht="12.75">
      <c r="A62" s="30"/>
      <c r="B62" s="24"/>
      <c r="C62" s="143"/>
      <c r="D62" s="36"/>
      <c r="E62" s="159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X62" s="27"/>
      <c r="Y62" s="28"/>
    </row>
    <row r="63" spans="1:25" s="25" customFormat="1" ht="12.75">
      <c r="A63" s="30"/>
      <c r="B63" s="24"/>
      <c r="C63" s="143"/>
      <c r="D63" s="36"/>
      <c r="E63" s="159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X63" s="27"/>
      <c r="Y63" s="28"/>
    </row>
    <row r="64" spans="1:25" s="25" customFormat="1" ht="12.75">
      <c r="A64" s="30"/>
      <c r="B64" s="24"/>
      <c r="C64" s="143"/>
      <c r="D64" s="36"/>
      <c r="E64" s="159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X64" s="27"/>
      <c r="Y64" s="28"/>
    </row>
    <row r="65" spans="1:25" s="2" customFormat="1" ht="12.75">
      <c r="A65" s="29"/>
      <c r="B65" s="3"/>
      <c r="C65" s="136"/>
      <c r="D65" s="148"/>
      <c r="E65" s="155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X65" s="37" t="s">
        <v>52</v>
      </c>
      <c r="Y65" s="38" t="s">
        <v>46</v>
      </c>
    </row>
    <row r="66" spans="2:25" ht="12.75">
      <c r="B66" s="49" t="s">
        <v>20</v>
      </c>
      <c r="C66" s="4"/>
      <c r="D66" s="149"/>
      <c r="E66" s="16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X66" s="39" t="s">
        <v>20</v>
      </c>
      <c r="Y66" s="40" t="s">
        <v>45</v>
      </c>
    </row>
    <row r="67" spans="1:25" ht="12.75">
      <c r="A67" s="16" t="s">
        <v>39</v>
      </c>
      <c r="B67" s="1" t="s">
        <v>76</v>
      </c>
      <c r="C67" s="144">
        <v>250</v>
      </c>
      <c r="D67" s="149">
        <v>45</v>
      </c>
      <c r="E67" s="163">
        <v>25</v>
      </c>
      <c r="F67" s="14">
        <v>25</v>
      </c>
      <c r="G67" s="14">
        <v>25</v>
      </c>
      <c r="H67" s="14">
        <v>25</v>
      </c>
      <c r="I67" s="14">
        <f>250-(+D67+E67+F67+G67+H67)</f>
        <v>105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X67" s="10">
        <f>+C67-D67-E67</f>
        <v>180</v>
      </c>
      <c r="Y67" s="5">
        <f>+X67*0.044</f>
        <v>7.92</v>
      </c>
    </row>
    <row r="68" spans="1:25" ht="12.75">
      <c r="A68" s="16" t="s">
        <v>39</v>
      </c>
      <c r="B68" s="1" t="s">
        <v>77</v>
      </c>
      <c r="C68" s="144">
        <v>16</v>
      </c>
      <c r="D68" s="149">
        <v>16</v>
      </c>
      <c r="E68" s="164">
        <v>-239</v>
      </c>
      <c r="F68" s="14"/>
      <c r="G68" s="14"/>
      <c r="H68" s="14"/>
      <c r="I68" s="34">
        <v>239</v>
      </c>
      <c r="J68" s="14"/>
      <c r="K68" s="14"/>
      <c r="L68" s="14"/>
      <c r="M68" s="134">
        <v>-150</v>
      </c>
      <c r="N68" s="14"/>
      <c r="O68" s="14"/>
      <c r="P68" s="134">
        <v>150</v>
      </c>
      <c r="Q68" s="14"/>
      <c r="R68" s="14"/>
      <c r="S68" s="14"/>
      <c r="T68" s="14"/>
      <c r="U68" s="14"/>
      <c r="V68" s="14"/>
      <c r="X68" s="10">
        <v>239</v>
      </c>
      <c r="Y68" s="5">
        <f>+X68*0.044</f>
        <v>10.516</v>
      </c>
    </row>
    <row r="69" spans="1:24" ht="12.75">
      <c r="A69" s="16" t="s">
        <v>39</v>
      </c>
      <c r="B69" s="1" t="s">
        <v>23</v>
      </c>
      <c r="C69" s="144">
        <v>35</v>
      </c>
      <c r="D69" s="149">
        <v>35</v>
      </c>
      <c r="E69" s="16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f>+C69-D69</f>
        <v>0</v>
      </c>
    </row>
    <row r="70" spans="1:22" ht="12.75">
      <c r="A70" s="16"/>
      <c r="B70" s="1" t="s">
        <v>100</v>
      </c>
      <c r="C70" s="144"/>
      <c r="D70" s="149"/>
      <c r="E70" s="163">
        <v>0.3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5" ht="12.75">
      <c r="A71" s="16" t="s">
        <v>39</v>
      </c>
      <c r="B71" s="93" t="s">
        <v>32</v>
      </c>
      <c r="C71" s="145">
        <f>+X71</f>
        <v>184</v>
      </c>
      <c r="D71" s="149"/>
      <c r="E71" s="163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>
        <v>184</v>
      </c>
      <c r="T71" s="14"/>
      <c r="U71" s="14"/>
      <c r="V71" s="14"/>
      <c r="X71" s="10">
        <f aca="true" t="shared" si="19" ref="X71:X80">SUM(D71:W71)</f>
        <v>184</v>
      </c>
      <c r="Y71" s="5">
        <f>+X71*0.0625</f>
        <v>11.5</v>
      </c>
    </row>
    <row r="72" spans="1:22" ht="12.75">
      <c r="A72" s="16" t="s">
        <v>39</v>
      </c>
      <c r="B72" s="18" t="s">
        <v>13</v>
      </c>
      <c r="C72" s="144"/>
      <c r="D72" s="149"/>
      <c r="E72" s="16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5" ht="12.75">
      <c r="A73" s="16" t="s">
        <v>39</v>
      </c>
      <c r="B73" s="7" t="s">
        <v>25</v>
      </c>
      <c r="C73" s="145">
        <v>130</v>
      </c>
      <c r="D73" s="149"/>
      <c r="E73" s="163"/>
      <c r="F73" s="14"/>
      <c r="G73" s="14"/>
      <c r="H73" s="14"/>
      <c r="I73" s="14"/>
      <c r="J73" s="14"/>
      <c r="K73" s="14">
        <v>130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X73" s="10">
        <f t="shared" si="19"/>
        <v>130</v>
      </c>
      <c r="Y73" s="5">
        <f>+X73*0.065</f>
        <v>8.450000000000001</v>
      </c>
    </row>
    <row r="74" spans="1:25" ht="12.75">
      <c r="A74" s="16" t="s">
        <v>39</v>
      </c>
      <c r="B74" s="1" t="s">
        <v>24</v>
      </c>
      <c r="C74" s="145">
        <v>125</v>
      </c>
      <c r="D74" s="149"/>
      <c r="E74" s="163"/>
      <c r="F74" s="14"/>
      <c r="G74" s="14"/>
      <c r="H74" s="14"/>
      <c r="I74" s="14"/>
      <c r="J74" s="14"/>
      <c r="K74" s="14"/>
      <c r="L74" s="14">
        <v>125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X74" s="10">
        <f t="shared" si="19"/>
        <v>125</v>
      </c>
      <c r="Y74" s="5">
        <f>+X74*0.0685</f>
        <v>8.5625</v>
      </c>
    </row>
    <row r="75" spans="1:25" ht="12.75">
      <c r="A75" s="16" t="s">
        <v>39</v>
      </c>
      <c r="B75" s="1" t="s">
        <v>26</v>
      </c>
      <c r="C75" s="145">
        <v>255</v>
      </c>
      <c r="D75" s="149"/>
      <c r="E75" s="163"/>
      <c r="F75" s="14"/>
      <c r="G75" s="14"/>
      <c r="H75" s="14"/>
      <c r="I75" s="14"/>
      <c r="J75" s="14"/>
      <c r="K75" s="14"/>
      <c r="L75" s="14"/>
      <c r="M75" s="14"/>
      <c r="N75" s="14">
        <v>255</v>
      </c>
      <c r="O75" s="14"/>
      <c r="P75" s="14"/>
      <c r="Q75" s="14"/>
      <c r="R75" s="14"/>
      <c r="S75" s="14"/>
      <c r="T75" s="14"/>
      <c r="U75" s="14"/>
      <c r="V75" s="14"/>
      <c r="X75" s="10">
        <f t="shared" si="19"/>
        <v>255</v>
      </c>
      <c r="Y75" s="5">
        <f>+X75*0.0571</f>
        <v>14.5605</v>
      </c>
    </row>
    <row r="76" spans="1:25" ht="12.75">
      <c r="A76" s="16" t="s">
        <v>39</v>
      </c>
      <c r="B76" s="1" t="s">
        <v>27</v>
      </c>
      <c r="C76" s="145">
        <v>138</v>
      </c>
      <c r="D76" s="149"/>
      <c r="E76" s="16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v>138</v>
      </c>
      <c r="R76" s="14"/>
      <c r="S76" s="14"/>
      <c r="T76" s="14"/>
      <c r="U76" s="14"/>
      <c r="V76" s="14"/>
      <c r="X76" s="10">
        <f t="shared" si="19"/>
        <v>138</v>
      </c>
      <c r="Y76" s="5">
        <f>+X76*0.073</f>
        <v>10.074</v>
      </c>
    </row>
    <row r="77" spans="1:25" ht="12.75">
      <c r="A77" s="16" t="s">
        <v>39</v>
      </c>
      <c r="B77" s="1" t="s">
        <v>28</v>
      </c>
      <c r="C77" s="145">
        <v>320</v>
      </c>
      <c r="D77" s="149"/>
      <c r="E77" s="16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>
        <v>320</v>
      </c>
      <c r="S77" s="14"/>
      <c r="T77" s="14"/>
      <c r="U77" s="14"/>
      <c r="V77" s="14"/>
      <c r="X77" s="10">
        <f t="shared" si="19"/>
        <v>320</v>
      </c>
      <c r="Y77" s="5">
        <f>+X77*0.0525</f>
        <v>16.8</v>
      </c>
    </row>
    <row r="78" spans="1:25" ht="12.75">
      <c r="A78" s="16" t="s">
        <v>39</v>
      </c>
      <c r="B78" s="1" t="s">
        <v>29</v>
      </c>
      <c r="C78" s="145">
        <v>121</v>
      </c>
      <c r="D78" s="149"/>
      <c r="E78" s="16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121</v>
      </c>
      <c r="V78" s="14"/>
      <c r="X78" s="10">
        <f t="shared" si="19"/>
        <v>121</v>
      </c>
      <c r="Y78" s="5">
        <f>+X78*0.0585</f>
        <v>7.0785</v>
      </c>
    </row>
    <row r="79" spans="1:25" ht="12.75">
      <c r="A79" s="16" t="s">
        <v>39</v>
      </c>
      <c r="B79" s="1" t="s">
        <v>30</v>
      </c>
      <c r="C79" s="145">
        <v>300</v>
      </c>
      <c r="D79" s="149"/>
      <c r="E79" s="163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v>300</v>
      </c>
      <c r="X79" s="10">
        <f t="shared" si="19"/>
        <v>300</v>
      </c>
      <c r="Y79" s="5">
        <f>+X79*0.0775</f>
        <v>23.25</v>
      </c>
    </row>
    <row r="80" spans="1:25" ht="12.75">
      <c r="A80" s="16" t="s">
        <v>39</v>
      </c>
      <c r="B80" s="1" t="s">
        <v>31</v>
      </c>
      <c r="C80" s="145">
        <v>17</v>
      </c>
      <c r="D80" s="149"/>
      <c r="E80" s="16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v>17</v>
      </c>
      <c r="X80" s="10">
        <f t="shared" si="19"/>
        <v>17</v>
      </c>
      <c r="Y80" s="5">
        <f>+X80*0.0625</f>
        <v>1.0625</v>
      </c>
    </row>
    <row r="81" spans="2:22" ht="12.75">
      <c r="B81" s="18" t="s">
        <v>65</v>
      </c>
      <c r="C81" s="33">
        <f>SUM(C67:C80)</f>
        <v>1891</v>
      </c>
      <c r="D81" s="149"/>
      <c r="E81" s="16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5" s="15" customFormat="1" ht="13.5" thickBot="1">
      <c r="A82" s="16" t="s">
        <v>42</v>
      </c>
      <c r="B82" s="15" t="s">
        <v>50</v>
      </c>
      <c r="C82" s="146" t="s">
        <v>48</v>
      </c>
      <c r="D82" s="109">
        <f aca="true" t="shared" si="20" ref="D82:R82">-SUM(D65:D81)+D60</f>
        <v>84.15050000000002</v>
      </c>
      <c r="E82" s="165">
        <f t="shared" si="20"/>
        <v>225.8945</v>
      </c>
      <c r="F82" s="109">
        <f t="shared" si="20"/>
        <v>42.996326666666704</v>
      </c>
      <c r="G82" s="109">
        <f t="shared" si="20"/>
        <v>38.44468980066668</v>
      </c>
      <c r="H82" s="109">
        <f t="shared" si="20"/>
        <v>34.19939945258966</v>
      </c>
      <c r="I82" s="109">
        <f t="shared" si="20"/>
        <v>-302.8571617271379</v>
      </c>
      <c r="J82" s="109">
        <f t="shared" si="20"/>
        <v>52.37834402395721</v>
      </c>
      <c r="K82" s="109">
        <f t="shared" si="20"/>
        <v>-79.24030046834442</v>
      </c>
      <c r="L82" s="109">
        <f t="shared" si="20"/>
        <v>-74.99920768328842</v>
      </c>
      <c r="M82" s="109">
        <f t="shared" si="20"/>
        <v>185.83655598942522</v>
      </c>
      <c r="N82" s="109">
        <f t="shared" si="20"/>
        <v>-204.9056905049309</v>
      </c>
      <c r="O82" s="109">
        <f t="shared" si="20"/>
        <v>47.87818998952113</v>
      </c>
      <c r="P82" s="109">
        <f t="shared" si="20"/>
        <v>-104.17761049275742</v>
      </c>
      <c r="Q82" s="109">
        <f t="shared" si="20"/>
        <v>47.46355802897031</v>
      </c>
      <c r="R82" s="109">
        <f t="shared" si="20"/>
        <v>-132.0935589926914</v>
      </c>
      <c r="S82" s="109">
        <f>-SUM(S65:S81)+S60</f>
        <v>27.6683441441497</v>
      </c>
      <c r="T82" s="109">
        <f>-SUM(T65:T81)+T60</f>
        <v>236.44929239550837</v>
      </c>
      <c r="U82" s="109">
        <f>-SUM(U65:U81)+U60</f>
        <v>156.2063944785217</v>
      </c>
      <c r="V82" s="109">
        <f>-SUM(V65:V81)+V60</f>
        <v>30.07118437398708</v>
      </c>
      <c r="W82" s="33"/>
      <c r="X82" s="52">
        <f>SUM(X65:X81)</f>
        <v>2009</v>
      </c>
      <c r="Y82" s="52">
        <f>SUM(Y65:Y81)</f>
        <v>119.774</v>
      </c>
    </row>
    <row r="83" spans="3:23" ht="14.25" thickBot="1" thickTop="1">
      <c r="C83" s="4"/>
      <c r="D83" s="149"/>
      <c r="E83" s="16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4"/>
    </row>
    <row r="84" spans="1:25" s="15" customFormat="1" ht="13.5" thickBot="1">
      <c r="A84" s="106" t="s">
        <v>49</v>
      </c>
      <c r="B84" s="107" t="s">
        <v>21</v>
      </c>
      <c r="C84" s="147"/>
      <c r="D84" s="150">
        <f>+D82</f>
        <v>84.15050000000002</v>
      </c>
      <c r="E84" s="110">
        <f>+D84+E82</f>
        <v>310.045</v>
      </c>
      <c r="F84" s="111">
        <f aca="true" t="shared" si="21" ref="F84:R84">+E84+F82</f>
        <v>353.0413266666667</v>
      </c>
      <c r="G84" s="111">
        <f t="shared" si="21"/>
        <v>391.48601646733334</v>
      </c>
      <c r="H84" s="111">
        <f t="shared" si="21"/>
        <v>425.685415919923</v>
      </c>
      <c r="I84" s="111">
        <f t="shared" si="21"/>
        <v>122.8282541927851</v>
      </c>
      <c r="J84" s="111">
        <f t="shared" si="21"/>
        <v>175.2065982167423</v>
      </c>
      <c r="K84" s="111">
        <f t="shared" si="21"/>
        <v>95.96629774839788</v>
      </c>
      <c r="L84" s="112">
        <f t="shared" si="21"/>
        <v>20.96709006510946</v>
      </c>
      <c r="M84" s="111">
        <f t="shared" si="21"/>
        <v>206.80364605453468</v>
      </c>
      <c r="N84" s="112">
        <f t="shared" si="21"/>
        <v>1.897955549603779</v>
      </c>
      <c r="O84" s="111">
        <f t="shared" si="21"/>
        <v>49.77614553912491</v>
      </c>
      <c r="P84" s="111">
        <f t="shared" si="21"/>
        <v>-54.40146495363251</v>
      </c>
      <c r="Q84" s="111">
        <f t="shared" si="21"/>
        <v>-6.937906924662201</v>
      </c>
      <c r="R84" s="112">
        <f t="shared" si="21"/>
        <v>-139.03146591735361</v>
      </c>
      <c r="S84" s="131">
        <f>+R84+S82</f>
        <v>-111.36312177320391</v>
      </c>
      <c r="T84" s="131">
        <f>+S84+T82</f>
        <v>125.08617062230445</v>
      </c>
      <c r="U84" s="131">
        <f>+T84+U82</f>
        <v>281.29256510082615</v>
      </c>
      <c r="V84" s="131">
        <f>+U84+V82</f>
        <v>311.36374947481323</v>
      </c>
      <c r="W84" s="33"/>
      <c r="X84" s="35"/>
      <c r="Y84" s="17"/>
    </row>
    <row r="85" spans="1:25" s="15" customFormat="1" ht="12.75">
      <c r="A85" s="16"/>
      <c r="D85" s="96"/>
      <c r="E85" s="34"/>
      <c r="F85" s="34"/>
      <c r="G85" s="34"/>
      <c r="H85" s="34"/>
      <c r="I85" s="34"/>
      <c r="J85" s="34"/>
      <c r="K85" s="34"/>
      <c r="L85" s="96"/>
      <c r="M85" s="34"/>
      <c r="N85" s="96"/>
      <c r="O85" s="34"/>
      <c r="P85" s="34"/>
      <c r="Q85" s="34"/>
      <c r="R85" s="34"/>
      <c r="S85" s="34"/>
      <c r="T85" s="34"/>
      <c r="U85" s="34"/>
      <c r="V85" s="34"/>
      <c r="W85" s="33"/>
      <c r="X85" s="35"/>
      <c r="Y85" s="17"/>
    </row>
    <row r="86" spans="1:25" s="15" customFormat="1" ht="12.75">
      <c r="A86" s="16"/>
      <c r="B86" s="114" t="s">
        <v>91</v>
      </c>
      <c r="C86" s="115"/>
      <c r="D86" s="116"/>
      <c r="E86" s="116">
        <f>+((+G95+G96+G97)/4)</f>
        <v>5.584875</v>
      </c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7"/>
      <c r="S86" s="132"/>
      <c r="T86" s="132"/>
      <c r="U86" s="132"/>
      <c r="V86" s="132"/>
      <c r="W86" s="33"/>
      <c r="X86" s="35"/>
      <c r="Y86" s="17"/>
    </row>
    <row r="87" spans="1:25" s="15" customFormat="1" ht="12.75">
      <c r="A87" s="16"/>
      <c r="D87" s="96"/>
      <c r="E87" s="34"/>
      <c r="F87" s="34"/>
      <c r="G87" s="34"/>
      <c r="H87" s="34"/>
      <c r="I87" s="34"/>
      <c r="J87" s="34"/>
      <c r="K87" s="34"/>
      <c r="L87" s="96"/>
      <c r="M87" s="34"/>
      <c r="N87" s="96"/>
      <c r="O87" s="34"/>
      <c r="P87" s="34"/>
      <c r="Q87" s="34"/>
      <c r="R87" s="34"/>
      <c r="S87" s="34"/>
      <c r="T87" s="34"/>
      <c r="U87" s="34"/>
      <c r="V87" s="34"/>
      <c r="W87" s="33"/>
      <c r="X87" s="35"/>
      <c r="Y87" s="17"/>
    </row>
    <row r="88" ht="12.75">
      <c r="B88" s="50" t="s">
        <v>47</v>
      </c>
    </row>
    <row r="89" spans="2:21" ht="12.75">
      <c r="B89" s="50"/>
      <c r="U89" t="s">
        <v>82</v>
      </c>
    </row>
    <row r="90" spans="2:24" ht="12.75">
      <c r="B90" s="50"/>
      <c r="U90" t="s">
        <v>83</v>
      </c>
      <c r="W90" t="s">
        <v>109</v>
      </c>
      <c r="X90" s="10">
        <f>-310-X91</f>
        <v>-71</v>
      </c>
    </row>
    <row r="91" spans="2:24" ht="12.75">
      <c r="B91" s="50"/>
      <c r="D91" s="80"/>
      <c r="E91" s="81" t="s">
        <v>62</v>
      </c>
      <c r="F91" s="82"/>
      <c r="G91" s="83"/>
      <c r="W91" t="s">
        <v>85</v>
      </c>
      <c r="X91" s="10">
        <v>-239</v>
      </c>
    </row>
    <row r="92" spans="2:24" ht="12.75">
      <c r="B92" s="50"/>
      <c r="D92" s="55" t="s">
        <v>22</v>
      </c>
      <c r="E92" s="79" t="s">
        <v>81</v>
      </c>
      <c r="F92" s="56" t="s">
        <v>80</v>
      </c>
      <c r="G92" s="56" t="s">
        <v>17</v>
      </c>
      <c r="U92" t="s">
        <v>87</v>
      </c>
      <c r="X92" s="10">
        <v>-184</v>
      </c>
    </row>
    <row r="93" spans="2:24" ht="13.5" thickBot="1">
      <c r="B93" s="50"/>
      <c r="C93" s="6" t="s">
        <v>14</v>
      </c>
      <c r="D93" s="6">
        <v>1</v>
      </c>
      <c r="E93" s="14">
        <v>251.1</v>
      </c>
      <c r="F93" s="5">
        <v>10.045872</v>
      </c>
      <c r="G93" s="5">
        <f>10*25*0.0425</f>
        <v>10.625</v>
      </c>
      <c r="U93" t="s">
        <v>86</v>
      </c>
      <c r="X93" s="84">
        <f>SUM(X82:X92)</f>
        <v>1515</v>
      </c>
    </row>
    <row r="94" spans="2:7" ht="13.5" thickTop="1">
      <c r="B94" s="50"/>
      <c r="C94" s="6" t="s">
        <v>37</v>
      </c>
      <c r="D94" s="6">
        <v>2</v>
      </c>
      <c r="E94" s="14">
        <v>151.6</v>
      </c>
      <c r="F94" s="5">
        <v>6.062128</v>
      </c>
      <c r="G94" s="5">
        <f>6*1.25</f>
        <v>7.5</v>
      </c>
    </row>
    <row r="95" spans="2:7" ht="13.5" thickBot="1">
      <c r="B95" s="50"/>
      <c r="C95" s="6" t="s">
        <v>38</v>
      </c>
      <c r="D95" s="6">
        <v>3</v>
      </c>
      <c r="E95" s="14">
        <f>203</f>
        <v>203</v>
      </c>
      <c r="F95" s="5">
        <v>8.1209</v>
      </c>
      <c r="G95" s="5">
        <f>203*0.0675</f>
        <v>13.7025</v>
      </c>
    </row>
    <row r="96" spans="3:24" ht="18.75" thickBot="1">
      <c r="C96" s="6" t="s">
        <v>39</v>
      </c>
      <c r="D96" s="6">
        <v>5</v>
      </c>
      <c r="E96" s="14">
        <f>123</f>
        <v>123</v>
      </c>
      <c r="F96" s="5">
        <v>4.91992</v>
      </c>
      <c r="G96" s="5">
        <f>123*0.069</f>
        <v>8.487</v>
      </c>
      <c r="S96" s="18" t="s">
        <v>64</v>
      </c>
      <c r="T96" s="93" t="s">
        <v>55</v>
      </c>
      <c r="U96" t="s">
        <v>54</v>
      </c>
      <c r="V96" s="14">
        <f>(+$E$23+$F$23)*2*0+146.1*4</f>
        <v>584.4</v>
      </c>
      <c r="W96" s="16" t="s">
        <v>63</v>
      </c>
      <c r="X96" s="64">
        <f>+X93/+(V96)</f>
        <v>2.5924024640657084</v>
      </c>
    </row>
    <row r="97" spans="4:24" ht="12.75">
      <c r="D97" s="6">
        <v>7</v>
      </c>
      <c r="E97" s="14">
        <v>2.9</v>
      </c>
      <c r="F97" s="5">
        <v>0.383333</v>
      </c>
      <c r="G97" s="5">
        <f>3*0.05</f>
        <v>0.15000000000000002</v>
      </c>
      <c r="S97" s="1"/>
      <c r="T97" s="1"/>
      <c r="X97" s="51"/>
    </row>
    <row r="98" spans="5:25" ht="13.5" thickBot="1">
      <c r="E98" s="14"/>
      <c r="X98" s="1" t="s">
        <v>58</v>
      </c>
      <c r="Y98" s="53">
        <f>+Y82*0.5</f>
        <v>59.887</v>
      </c>
    </row>
    <row r="99" spans="4:25" ht="18.75" thickBot="1">
      <c r="D99" s="15" t="s">
        <v>35</v>
      </c>
      <c r="E99" s="32">
        <f>SUM(E93:E98)</f>
        <v>731.6</v>
      </c>
      <c r="F99" s="54">
        <f>SUM(F93:F98)</f>
        <v>29.532153000000005</v>
      </c>
      <c r="G99" s="54">
        <f>SUM(G93:G98)</f>
        <v>40.4645</v>
      </c>
      <c r="S99" s="18" t="s">
        <v>56</v>
      </c>
      <c r="T99" s="93" t="s">
        <v>55</v>
      </c>
      <c r="U99" t="s">
        <v>54</v>
      </c>
      <c r="V99" s="14">
        <f>(+$E$23+$F$23)</f>
        <v>287.97566000000006</v>
      </c>
      <c r="X99" s="23" t="s">
        <v>57</v>
      </c>
      <c r="Y99" s="62">
        <f>+V99/Y98</f>
        <v>4.8086506253443995</v>
      </c>
    </row>
    <row r="100" ht="13.5" thickTop="1"/>
    <row r="101" ht="12.75">
      <c r="B101" s="78"/>
    </row>
    <row r="106" ht="12.75">
      <c r="L106" s="77"/>
    </row>
  </sheetData>
  <sheetProtection/>
  <printOptions/>
  <pageMargins left="0.75" right="0.75" top="1" bottom="1" header="0.5" footer="0.5"/>
  <pageSetup fitToHeight="2" fitToWidth="1" orientation="landscape" paperSize="9" scale="49" r:id="rId3"/>
  <ignoredErrors>
    <ignoredError sqref="E20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9" ht="31.5">
      <c r="B1" s="104" t="s">
        <v>96</v>
      </c>
      <c r="G1" s="57"/>
      <c r="H1" s="58" t="s">
        <v>95</v>
      </c>
      <c r="I1" s="57"/>
    </row>
    <row r="2" spans="1:25" s="89" customFormat="1" ht="10.5" customHeight="1">
      <c r="A2" s="29"/>
      <c r="B2" s="88"/>
      <c r="H2" s="90"/>
      <c r="X2" s="91"/>
      <c r="Y2" s="92"/>
    </row>
    <row r="3" spans="2:6" ht="20.25">
      <c r="B3" s="105" t="s">
        <v>97</v>
      </c>
      <c r="C3" s="86"/>
      <c r="D3" s="86"/>
      <c r="E3" s="95"/>
      <c r="F3" s="87"/>
    </row>
    <row r="4" spans="1:25" s="18" customFormat="1" ht="13.5" thickBot="1">
      <c r="A4" s="16"/>
      <c r="D4" s="113"/>
      <c r="E4" s="19" t="s">
        <v>0</v>
      </c>
      <c r="F4" s="19" t="s">
        <v>1</v>
      </c>
      <c r="G4" s="19" t="s">
        <v>2</v>
      </c>
      <c r="H4" s="19" t="s">
        <v>3</v>
      </c>
      <c r="I4" s="20" t="s">
        <v>4</v>
      </c>
      <c r="J4" s="20" t="s">
        <v>5</v>
      </c>
      <c r="K4" s="20" t="s">
        <v>6</v>
      </c>
      <c r="L4" s="20" t="s">
        <v>7</v>
      </c>
      <c r="M4" s="21" t="s">
        <v>8</v>
      </c>
      <c r="N4" s="21" t="s">
        <v>9</v>
      </c>
      <c r="O4" s="21" t="s">
        <v>10</v>
      </c>
      <c r="P4" s="21" t="s">
        <v>11</v>
      </c>
      <c r="Q4" s="18">
        <v>2015</v>
      </c>
      <c r="R4" s="18">
        <v>2016</v>
      </c>
      <c r="S4" s="18">
        <v>2017</v>
      </c>
      <c r="T4" s="18">
        <v>2018</v>
      </c>
      <c r="U4" s="18">
        <v>2019</v>
      </c>
      <c r="V4" s="18">
        <v>2020</v>
      </c>
      <c r="W4" s="16"/>
      <c r="X4" s="23"/>
      <c r="Y4" s="22"/>
    </row>
    <row r="5" spans="2:25" s="120" customFormat="1" ht="17.25" thickBot="1">
      <c r="B5" s="127" t="s">
        <v>92</v>
      </c>
      <c r="C5" s="128"/>
      <c r="D5" s="128"/>
      <c r="E5" s="129">
        <v>0.045</v>
      </c>
      <c r="F5" s="129">
        <f>+E5</f>
        <v>0.045</v>
      </c>
      <c r="G5" s="129">
        <f aca="true" t="shared" si="0" ref="G5:O5">+F5</f>
        <v>0.045</v>
      </c>
      <c r="H5" s="129">
        <f t="shared" si="0"/>
        <v>0.045</v>
      </c>
      <c r="I5" s="129">
        <f t="shared" si="0"/>
        <v>0.045</v>
      </c>
      <c r="J5" s="129">
        <f t="shared" si="0"/>
        <v>0.045</v>
      </c>
      <c r="K5" s="129">
        <f t="shared" si="0"/>
        <v>0.045</v>
      </c>
      <c r="L5" s="129">
        <f t="shared" si="0"/>
        <v>0.045</v>
      </c>
      <c r="M5" s="129">
        <f t="shared" si="0"/>
        <v>0.045</v>
      </c>
      <c r="N5" s="129">
        <f t="shared" si="0"/>
        <v>0.045</v>
      </c>
      <c r="O5" s="129">
        <f t="shared" si="0"/>
        <v>0.045</v>
      </c>
      <c r="P5" s="129">
        <f>+O5</f>
        <v>0.045</v>
      </c>
      <c r="Q5" s="129">
        <v>0.15</v>
      </c>
      <c r="R5" s="130">
        <v>0.15</v>
      </c>
      <c r="S5" s="130">
        <v>0.15</v>
      </c>
      <c r="T5" s="130">
        <v>0.15</v>
      </c>
      <c r="U5" s="130">
        <v>0.15</v>
      </c>
      <c r="V5" s="130">
        <v>0.15</v>
      </c>
      <c r="X5" s="125"/>
      <c r="Y5" s="126"/>
    </row>
    <row r="6" spans="2:25" s="120" customFormat="1" ht="17.25" thickBot="1">
      <c r="B6" s="121" t="s">
        <v>93</v>
      </c>
      <c r="C6" s="122"/>
      <c r="D6" s="122"/>
      <c r="E6" s="123">
        <v>-0.044</v>
      </c>
      <c r="F6" s="123">
        <f>+E6</f>
        <v>-0.044</v>
      </c>
      <c r="G6" s="123">
        <f aca="true" t="shared" si="1" ref="G6:O6">+F6</f>
        <v>-0.044</v>
      </c>
      <c r="H6" s="123">
        <f t="shared" si="1"/>
        <v>-0.044</v>
      </c>
      <c r="I6" s="123">
        <f t="shared" si="1"/>
        <v>-0.044</v>
      </c>
      <c r="J6" s="123">
        <f t="shared" si="1"/>
        <v>-0.044</v>
      </c>
      <c r="K6" s="123">
        <f t="shared" si="1"/>
        <v>-0.044</v>
      </c>
      <c r="L6" s="123">
        <f t="shared" si="1"/>
        <v>-0.044</v>
      </c>
      <c r="M6" s="123">
        <f t="shared" si="1"/>
        <v>-0.044</v>
      </c>
      <c r="N6" s="123">
        <f t="shared" si="1"/>
        <v>-0.044</v>
      </c>
      <c r="O6" s="123">
        <f t="shared" si="1"/>
        <v>-0.044</v>
      </c>
      <c r="P6" s="123">
        <f>+O6</f>
        <v>-0.044</v>
      </c>
      <c r="Q6" s="123">
        <v>-0.15</v>
      </c>
      <c r="R6" s="124">
        <v>-0.15</v>
      </c>
      <c r="S6" s="124">
        <v>0</v>
      </c>
      <c r="T6" s="124">
        <v>0</v>
      </c>
      <c r="U6" s="124">
        <v>0</v>
      </c>
      <c r="V6" s="124">
        <v>0</v>
      </c>
      <c r="X6" s="125"/>
      <c r="Y6" s="126"/>
    </row>
    <row r="7" spans="2:6" ht="20.25">
      <c r="B7" s="85"/>
      <c r="C7" s="86"/>
      <c r="D7" s="86"/>
      <c r="E7" s="95"/>
      <c r="F7" s="87"/>
    </row>
    <row r="8" spans="1:25" s="15" customFormat="1" ht="12.75">
      <c r="A8" s="16"/>
      <c r="D8" s="16" t="s">
        <v>53</v>
      </c>
      <c r="E8" s="60" t="s">
        <v>59</v>
      </c>
      <c r="F8" s="59" t="s">
        <v>60</v>
      </c>
      <c r="X8" s="23"/>
      <c r="Y8" s="22"/>
    </row>
    <row r="9" spans="1:25" s="18" customFormat="1" ht="12.75">
      <c r="A9" s="16"/>
      <c r="C9" s="18" t="s">
        <v>34</v>
      </c>
      <c r="D9" s="41" t="s">
        <v>18</v>
      </c>
      <c r="E9" s="19" t="s">
        <v>0</v>
      </c>
      <c r="F9" s="19" t="s">
        <v>1</v>
      </c>
      <c r="G9" s="19" t="s">
        <v>2</v>
      </c>
      <c r="H9" s="19" t="s">
        <v>3</v>
      </c>
      <c r="I9" s="20" t="s">
        <v>4</v>
      </c>
      <c r="J9" s="20" t="s">
        <v>5</v>
      </c>
      <c r="K9" s="20" t="s">
        <v>6</v>
      </c>
      <c r="L9" s="20" t="s">
        <v>7</v>
      </c>
      <c r="M9" s="21" t="s">
        <v>8</v>
      </c>
      <c r="N9" s="21" t="s">
        <v>9</v>
      </c>
      <c r="O9" s="21" t="s">
        <v>10</v>
      </c>
      <c r="P9" s="21" t="s">
        <v>11</v>
      </c>
      <c r="Q9" s="18">
        <v>2015</v>
      </c>
      <c r="R9" s="18">
        <v>2016</v>
      </c>
      <c r="S9" s="18">
        <v>2017</v>
      </c>
      <c r="T9" s="18">
        <v>2018</v>
      </c>
      <c r="U9" s="18">
        <v>2019</v>
      </c>
      <c r="V9" s="18">
        <v>2020</v>
      </c>
      <c r="W9" s="16" t="s">
        <v>43</v>
      </c>
      <c r="X9" s="23"/>
      <c r="Y9" s="22"/>
    </row>
    <row r="10" spans="1:25" s="2" customFormat="1" ht="12.75">
      <c r="A10" s="29"/>
      <c r="B10" s="48" t="s">
        <v>54</v>
      </c>
      <c r="C10" s="3"/>
      <c r="D10" s="42"/>
      <c r="X10" s="9"/>
      <c r="Y10" s="11"/>
    </row>
    <row r="11" spans="1:25" s="2" customFormat="1" ht="12.75">
      <c r="A11" s="29"/>
      <c r="B11" s="94"/>
      <c r="C11" s="3"/>
      <c r="D11" s="42"/>
      <c r="X11" s="9"/>
      <c r="Y11" s="11"/>
    </row>
    <row r="12" spans="1:25" s="2" customFormat="1" ht="12.75">
      <c r="A12" s="29"/>
      <c r="B12" s="65" t="s">
        <v>67</v>
      </c>
      <c r="C12" s="3"/>
      <c r="D12" s="44">
        <v>90</v>
      </c>
      <c r="E12" s="12">
        <f>+D12*(1+E13)</f>
        <v>94.05</v>
      </c>
      <c r="F12" s="12">
        <f aca="true" t="shared" si="2" ref="F12:P12">+E12*(1+F13)</f>
        <v>98.28224999999999</v>
      </c>
      <c r="G12" s="12">
        <f t="shared" si="2"/>
        <v>102.70495124999998</v>
      </c>
      <c r="H12" s="12">
        <f t="shared" si="2"/>
        <v>107.32667405624997</v>
      </c>
      <c r="I12" s="12">
        <f t="shared" si="2"/>
        <v>112.15637438878122</v>
      </c>
      <c r="J12" s="12">
        <f t="shared" si="2"/>
        <v>117.20341123627637</v>
      </c>
      <c r="K12" s="12">
        <f t="shared" si="2"/>
        <v>122.4775647419088</v>
      </c>
      <c r="L12" s="12">
        <f t="shared" si="2"/>
        <v>127.98905515529468</v>
      </c>
      <c r="M12" s="12">
        <f t="shared" si="2"/>
        <v>133.74856263728293</v>
      </c>
      <c r="N12" s="12">
        <f t="shared" si="2"/>
        <v>139.76724795596064</v>
      </c>
      <c r="O12" s="12">
        <f t="shared" si="2"/>
        <v>146.05677411397886</v>
      </c>
      <c r="P12" s="12">
        <f t="shared" si="2"/>
        <v>152.6293289491079</v>
      </c>
      <c r="Q12" s="12">
        <f>+P12*4</f>
        <v>610.5173157964316</v>
      </c>
      <c r="R12" s="12">
        <f>+Q12*(1+R13)</f>
        <v>702.0949131658963</v>
      </c>
      <c r="S12" s="12">
        <f>+R12*(1+S13)</f>
        <v>807.4091501407806</v>
      </c>
      <c r="T12" s="12">
        <f>+S12*(1+T13)</f>
        <v>928.5205226618976</v>
      </c>
      <c r="U12" s="12">
        <f>+T12*(1+U13)</f>
        <v>1067.7986010611821</v>
      </c>
      <c r="V12" s="12">
        <f>+U12*(1+V13)</f>
        <v>1227.9683912203593</v>
      </c>
      <c r="X12" s="9"/>
      <c r="Y12" s="11"/>
    </row>
    <row r="13" spans="1:25" s="2" customFormat="1" ht="12.75">
      <c r="A13" s="29"/>
      <c r="B13" s="66" t="s">
        <v>70</v>
      </c>
      <c r="C13" s="68"/>
      <c r="D13" s="69"/>
      <c r="E13" s="70">
        <f>+E5</f>
        <v>0.045</v>
      </c>
      <c r="F13" s="70">
        <f aca="true" t="shared" si="3" ref="F13:R13">+F5</f>
        <v>0.045</v>
      </c>
      <c r="G13" s="70">
        <f t="shared" si="3"/>
        <v>0.045</v>
      </c>
      <c r="H13" s="70">
        <f t="shared" si="3"/>
        <v>0.045</v>
      </c>
      <c r="I13" s="70">
        <f t="shared" si="3"/>
        <v>0.045</v>
      </c>
      <c r="J13" s="70">
        <f t="shared" si="3"/>
        <v>0.045</v>
      </c>
      <c r="K13" s="70">
        <f t="shared" si="3"/>
        <v>0.045</v>
      </c>
      <c r="L13" s="70">
        <f t="shared" si="3"/>
        <v>0.045</v>
      </c>
      <c r="M13" s="70">
        <f t="shared" si="3"/>
        <v>0.045</v>
      </c>
      <c r="N13" s="70">
        <f t="shared" si="3"/>
        <v>0.045</v>
      </c>
      <c r="O13" s="70">
        <f t="shared" si="3"/>
        <v>0.045</v>
      </c>
      <c r="P13" s="70">
        <f t="shared" si="3"/>
        <v>0.045</v>
      </c>
      <c r="Q13" s="70">
        <f t="shared" si="3"/>
        <v>0.15</v>
      </c>
      <c r="R13" s="70">
        <f t="shared" si="3"/>
        <v>0.15</v>
      </c>
      <c r="S13" s="70">
        <f>+S5</f>
        <v>0.15</v>
      </c>
      <c r="T13" s="70">
        <f>+T5</f>
        <v>0.15</v>
      </c>
      <c r="U13" s="70">
        <f>+U5</f>
        <v>0.15</v>
      </c>
      <c r="V13" s="70">
        <f>+V5</f>
        <v>0.15</v>
      </c>
      <c r="X13" s="9"/>
      <c r="Y13" s="11"/>
    </row>
    <row r="14" spans="1:22" s="102" customFormat="1" ht="12.75">
      <c r="A14" s="100"/>
      <c r="B14" s="101" t="s">
        <v>72</v>
      </c>
      <c r="D14" s="97">
        <v>0.3</v>
      </c>
      <c r="E14" s="102">
        <f>+D14</f>
        <v>0.3</v>
      </c>
      <c r="F14" s="102">
        <f aca="true" t="shared" si="4" ref="F14:R14">+E14</f>
        <v>0.3</v>
      </c>
      <c r="G14" s="102">
        <f t="shared" si="4"/>
        <v>0.3</v>
      </c>
      <c r="H14" s="102">
        <f t="shared" si="4"/>
        <v>0.3</v>
      </c>
      <c r="I14" s="102">
        <f t="shared" si="4"/>
        <v>0.3</v>
      </c>
      <c r="J14" s="102">
        <f t="shared" si="4"/>
        <v>0.3</v>
      </c>
      <c r="K14" s="102">
        <f t="shared" si="4"/>
        <v>0.3</v>
      </c>
      <c r="L14" s="102">
        <f t="shared" si="4"/>
        <v>0.3</v>
      </c>
      <c r="M14" s="102">
        <f t="shared" si="4"/>
        <v>0.3</v>
      </c>
      <c r="N14" s="102">
        <f t="shared" si="4"/>
        <v>0.3</v>
      </c>
      <c r="O14" s="102">
        <f t="shared" si="4"/>
        <v>0.3</v>
      </c>
      <c r="P14" s="102">
        <f t="shared" si="4"/>
        <v>0.3</v>
      </c>
      <c r="Q14" s="102">
        <f t="shared" si="4"/>
        <v>0.3</v>
      </c>
      <c r="R14" s="102">
        <f t="shared" si="4"/>
        <v>0.3</v>
      </c>
      <c r="S14" s="102">
        <f>+R14</f>
        <v>0.3</v>
      </c>
      <c r="T14" s="102">
        <f>+S14</f>
        <v>0.3</v>
      </c>
      <c r="U14" s="102">
        <f>+T14</f>
        <v>0.3</v>
      </c>
      <c r="V14" s="102">
        <f>+U14</f>
        <v>0.3</v>
      </c>
    </row>
    <row r="15" spans="1:25" s="2" customFormat="1" ht="12.75">
      <c r="A15" s="29"/>
      <c r="B15" s="25" t="s">
        <v>69</v>
      </c>
      <c r="C15" s="3"/>
      <c r="D15" s="67">
        <f>+D12*D14</f>
        <v>27</v>
      </c>
      <c r="E15" s="73">
        <f aca="true" t="shared" si="5" ref="E15:R15">+E12*E14</f>
        <v>28.215</v>
      </c>
      <c r="F15" s="73">
        <f t="shared" si="5"/>
        <v>29.484674999999996</v>
      </c>
      <c r="G15" s="73">
        <f t="shared" si="5"/>
        <v>30.811485374999993</v>
      </c>
      <c r="H15" s="73">
        <f t="shared" si="5"/>
        <v>32.19800221687499</v>
      </c>
      <c r="I15" s="73">
        <f t="shared" si="5"/>
        <v>33.64691231663436</v>
      </c>
      <c r="J15" s="73">
        <f t="shared" si="5"/>
        <v>35.16102337088291</v>
      </c>
      <c r="K15" s="73">
        <f t="shared" si="5"/>
        <v>36.74326942257264</v>
      </c>
      <c r="L15" s="73">
        <f t="shared" si="5"/>
        <v>38.3967165465884</v>
      </c>
      <c r="M15" s="73">
        <f t="shared" si="5"/>
        <v>40.12456879118488</v>
      </c>
      <c r="N15" s="73">
        <f t="shared" si="5"/>
        <v>41.93017438678819</v>
      </c>
      <c r="O15" s="73">
        <f t="shared" si="5"/>
        <v>43.817032234193654</v>
      </c>
      <c r="P15" s="73">
        <f t="shared" si="5"/>
        <v>45.78879868473237</v>
      </c>
      <c r="Q15" s="73">
        <f t="shared" si="5"/>
        <v>183.15519473892948</v>
      </c>
      <c r="R15" s="73">
        <f t="shared" si="5"/>
        <v>210.62847394976887</v>
      </c>
      <c r="S15" s="73">
        <f>+S12*S14</f>
        <v>242.22274504223418</v>
      </c>
      <c r="T15" s="73">
        <f>+T12*T14</f>
        <v>278.5561567985693</v>
      </c>
      <c r="U15" s="73">
        <f>+U12*U14</f>
        <v>320.33958031835465</v>
      </c>
      <c r="V15" s="73">
        <f>+V12*V14</f>
        <v>368.39051736610776</v>
      </c>
      <c r="X15" s="9"/>
      <c r="Y15" s="11"/>
    </row>
    <row r="16" spans="1:25" s="2" customFormat="1" ht="12.75">
      <c r="A16" s="29"/>
      <c r="B16" s="65"/>
      <c r="C16" s="3"/>
      <c r="D16" s="4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29"/>
      <c r="B17" s="65" t="s">
        <v>68</v>
      </c>
      <c r="C17" s="3"/>
      <c r="D17" s="44">
        <v>223.3</v>
      </c>
      <c r="E17" s="12">
        <f>+D17*(1+E18)</f>
        <v>213.47480000000002</v>
      </c>
      <c r="F17" s="12">
        <f aca="true" t="shared" si="6" ref="F17:R17">+E17*(1+F18)</f>
        <v>204.0819088</v>
      </c>
      <c r="G17" s="12">
        <f t="shared" si="6"/>
        <v>195.10230481279999</v>
      </c>
      <c r="H17" s="12">
        <f t="shared" si="6"/>
        <v>186.5178034010368</v>
      </c>
      <c r="I17" s="12">
        <f t="shared" si="6"/>
        <v>178.31102005139115</v>
      </c>
      <c r="J17" s="12">
        <f t="shared" si="6"/>
        <v>170.46533516912993</v>
      </c>
      <c r="K17" s="12">
        <f t="shared" si="6"/>
        <v>162.9648604216882</v>
      </c>
      <c r="L17" s="12">
        <f t="shared" si="6"/>
        <v>155.79440656313392</v>
      </c>
      <c r="M17" s="12">
        <f t="shared" si="6"/>
        <v>148.93945267435603</v>
      </c>
      <c r="N17" s="12">
        <f t="shared" si="6"/>
        <v>142.38611675668437</v>
      </c>
      <c r="O17" s="12">
        <f t="shared" si="6"/>
        <v>136.12112761939025</v>
      </c>
      <c r="P17" s="12">
        <f t="shared" si="6"/>
        <v>130.13179800413707</v>
      </c>
      <c r="Q17" s="12">
        <f>+P17*4</f>
        <v>520.5271920165483</v>
      </c>
      <c r="R17" s="12">
        <f t="shared" si="6"/>
        <v>442.44811321406604</v>
      </c>
      <c r="S17" s="12">
        <f>+R17*(1+S18)</f>
        <v>442.44811321406604</v>
      </c>
      <c r="T17" s="12">
        <f>+S17*(1+T18)</f>
        <v>442.44811321406604</v>
      </c>
      <c r="U17" s="12">
        <f>+T17*(1+U18)</f>
        <v>442.44811321406604</v>
      </c>
      <c r="V17" s="12">
        <f>+U17*(1+V18)</f>
        <v>442.44811321406604</v>
      </c>
      <c r="X17" s="9"/>
      <c r="Y17" s="11"/>
    </row>
    <row r="18" spans="1:25" s="2" customFormat="1" ht="12.75">
      <c r="A18" s="29"/>
      <c r="B18" s="66" t="s">
        <v>73</v>
      </c>
      <c r="C18" s="3"/>
      <c r="D18" s="44"/>
      <c r="E18" s="71">
        <f>+E6</f>
        <v>-0.044</v>
      </c>
      <c r="F18" s="71">
        <f aca="true" t="shared" si="7" ref="F18:R18">+F6</f>
        <v>-0.044</v>
      </c>
      <c r="G18" s="71">
        <f t="shared" si="7"/>
        <v>-0.044</v>
      </c>
      <c r="H18" s="71">
        <f t="shared" si="7"/>
        <v>-0.044</v>
      </c>
      <c r="I18" s="71">
        <f t="shared" si="7"/>
        <v>-0.044</v>
      </c>
      <c r="J18" s="71">
        <f t="shared" si="7"/>
        <v>-0.044</v>
      </c>
      <c r="K18" s="71">
        <f t="shared" si="7"/>
        <v>-0.044</v>
      </c>
      <c r="L18" s="71">
        <f t="shared" si="7"/>
        <v>-0.044</v>
      </c>
      <c r="M18" s="71">
        <f t="shared" si="7"/>
        <v>-0.044</v>
      </c>
      <c r="N18" s="71">
        <f t="shared" si="7"/>
        <v>-0.044</v>
      </c>
      <c r="O18" s="71">
        <f t="shared" si="7"/>
        <v>-0.044</v>
      </c>
      <c r="P18" s="71">
        <f t="shared" si="7"/>
        <v>-0.044</v>
      </c>
      <c r="Q18" s="71">
        <f t="shared" si="7"/>
        <v>-0.15</v>
      </c>
      <c r="R18" s="71">
        <f t="shared" si="7"/>
        <v>-0.15</v>
      </c>
      <c r="S18" s="71">
        <f>+S6</f>
        <v>0</v>
      </c>
      <c r="T18" s="71">
        <f>+T6</f>
        <v>0</v>
      </c>
      <c r="U18" s="71">
        <f>+U6</f>
        <v>0</v>
      </c>
      <c r="V18" s="71">
        <f>+V6</f>
        <v>0</v>
      </c>
      <c r="X18" s="9"/>
      <c r="Y18" s="11"/>
    </row>
    <row r="19" spans="1:23" s="102" customFormat="1" ht="15">
      <c r="A19" s="100"/>
      <c r="B19" s="101" t="s">
        <v>72</v>
      </c>
      <c r="C19" s="103"/>
      <c r="D19" s="97">
        <v>0.538</v>
      </c>
      <c r="E19" s="98">
        <f>+D19</f>
        <v>0.538</v>
      </c>
      <c r="F19" s="98">
        <v>0.535</v>
      </c>
      <c r="G19" s="98">
        <v>0.53</v>
      </c>
      <c r="H19" s="98">
        <v>0.53</v>
      </c>
      <c r="I19" s="98">
        <v>0.525</v>
      </c>
      <c r="J19" s="98">
        <v>0.52</v>
      </c>
      <c r="K19" s="98">
        <v>0.515</v>
      </c>
      <c r="L19" s="98">
        <v>0.51</v>
      </c>
      <c r="M19" s="98">
        <v>0.51</v>
      </c>
      <c r="N19" s="98">
        <v>0.51</v>
      </c>
      <c r="O19" s="98">
        <v>0.51</v>
      </c>
      <c r="P19" s="98">
        <v>0.51</v>
      </c>
      <c r="Q19" s="98">
        <v>0.51</v>
      </c>
      <c r="R19" s="98">
        <v>0.51</v>
      </c>
      <c r="S19" s="98">
        <v>0.51</v>
      </c>
      <c r="T19" s="98">
        <v>0.51</v>
      </c>
      <c r="U19" s="98">
        <v>0.51</v>
      </c>
      <c r="V19" s="98">
        <v>0.51</v>
      </c>
      <c r="W19" s="119" t="s">
        <v>98</v>
      </c>
    </row>
    <row r="20" spans="1:25" s="2" customFormat="1" ht="12.75">
      <c r="A20" s="29"/>
      <c r="B20" s="25" t="s">
        <v>71</v>
      </c>
      <c r="C20" s="3"/>
      <c r="D20" s="67">
        <f>+D17*D19</f>
        <v>120.13540000000002</v>
      </c>
      <c r="E20" s="73">
        <f>+E17*E19</f>
        <v>114.84944240000002</v>
      </c>
      <c r="F20" s="73">
        <f aca="true" t="shared" si="8" ref="F20:R20">+F17*F19</f>
        <v>109.18382120800001</v>
      </c>
      <c r="G20" s="73">
        <f t="shared" si="8"/>
        <v>103.404221550784</v>
      </c>
      <c r="H20" s="73">
        <f t="shared" si="8"/>
        <v>98.8544358025495</v>
      </c>
      <c r="I20" s="73">
        <f t="shared" si="8"/>
        <v>93.61328552698036</v>
      </c>
      <c r="J20" s="73">
        <f t="shared" si="8"/>
        <v>88.64197428794756</v>
      </c>
      <c r="K20" s="73">
        <f t="shared" si="8"/>
        <v>83.92690311716943</v>
      </c>
      <c r="L20" s="73">
        <f t="shared" si="8"/>
        <v>79.4551473471983</v>
      </c>
      <c r="M20" s="73">
        <f t="shared" si="8"/>
        <v>75.95912086392158</v>
      </c>
      <c r="N20" s="73">
        <f t="shared" si="8"/>
        <v>72.61691954590903</v>
      </c>
      <c r="O20" s="73">
        <f t="shared" si="8"/>
        <v>69.42177508588902</v>
      </c>
      <c r="P20" s="73">
        <f t="shared" si="8"/>
        <v>66.36721698210991</v>
      </c>
      <c r="Q20" s="73">
        <f t="shared" si="8"/>
        <v>265.46886792843964</v>
      </c>
      <c r="R20" s="73">
        <f t="shared" si="8"/>
        <v>225.6485377391737</v>
      </c>
      <c r="S20" s="73">
        <f>+S17*S19</f>
        <v>225.6485377391737</v>
      </c>
      <c r="T20" s="73">
        <f>+T17*T19</f>
        <v>225.6485377391737</v>
      </c>
      <c r="U20" s="73">
        <f>+U17*U19</f>
        <v>225.6485377391737</v>
      </c>
      <c r="V20" s="73">
        <f>+V17*V19</f>
        <v>225.6485377391737</v>
      </c>
      <c r="X20" s="9"/>
      <c r="Y20" s="11"/>
    </row>
    <row r="21" spans="1:25" s="2" customFormat="1" ht="12.75">
      <c r="A21" s="29"/>
      <c r="B21" s="66"/>
      <c r="C21" s="3"/>
      <c r="D21" s="4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X21" s="9"/>
      <c r="Y21" s="11"/>
    </row>
    <row r="22" spans="1:25" s="2" customFormat="1" ht="12.75">
      <c r="A22" s="29"/>
      <c r="B22" s="66" t="s">
        <v>74</v>
      </c>
      <c r="C22" s="3"/>
      <c r="D22" s="44">
        <f>+D12+D17</f>
        <v>313.3</v>
      </c>
      <c r="E22" s="12">
        <f>+E12+E17</f>
        <v>307.5248</v>
      </c>
      <c r="F22" s="12">
        <f aca="true" t="shared" si="9" ref="F22:R22">+F12+F17</f>
        <v>302.3641588</v>
      </c>
      <c r="G22" s="12">
        <f t="shared" si="9"/>
        <v>297.8072560628</v>
      </c>
      <c r="H22" s="12">
        <f t="shared" si="9"/>
        <v>293.84447745728676</v>
      </c>
      <c r="I22" s="12">
        <f t="shared" si="9"/>
        <v>290.46739444017237</v>
      </c>
      <c r="J22" s="12">
        <f t="shared" si="9"/>
        <v>287.6687464054063</v>
      </c>
      <c r="K22" s="12">
        <f t="shared" si="9"/>
        <v>285.442425163597</v>
      </c>
      <c r="L22" s="12">
        <f t="shared" si="9"/>
        <v>283.7834617184286</v>
      </c>
      <c r="M22" s="12">
        <f t="shared" si="9"/>
        <v>282.688015311639</v>
      </c>
      <c r="N22" s="12">
        <f t="shared" si="9"/>
        <v>282.15336471264504</v>
      </c>
      <c r="O22" s="12">
        <f t="shared" si="9"/>
        <v>282.17790173336914</v>
      </c>
      <c r="P22" s="12">
        <f t="shared" si="9"/>
        <v>282.76112695324497</v>
      </c>
      <c r="Q22" s="12">
        <f t="shared" si="9"/>
        <v>1131.0445078129799</v>
      </c>
      <c r="R22" s="12">
        <f t="shared" si="9"/>
        <v>1144.5430263799624</v>
      </c>
      <c r="S22" s="12">
        <f>+S12+S17</f>
        <v>1249.8572633548467</v>
      </c>
      <c r="T22" s="12">
        <f>+T12+T17</f>
        <v>1370.9686358759636</v>
      </c>
      <c r="U22" s="12">
        <f>+U12+U17</f>
        <v>1510.2467142752482</v>
      </c>
      <c r="V22" s="12">
        <f>+V12+V17</f>
        <v>1670.4165044344254</v>
      </c>
      <c r="X22" s="9"/>
      <c r="Y22" s="11"/>
    </row>
    <row r="23" spans="1:25" s="25" customFormat="1" ht="13.5" thickBot="1">
      <c r="A23" s="30" t="s">
        <v>14</v>
      </c>
      <c r="B23" s="30" t="s">
        <v>99</v>
      </c>
      <c r="C23" s="24"/>
      <c r="D23" s="72">
        <f>+D15+D20</f>
        <v>147.1354</v>
      </c>
      <c r="E23" s="74">
        <f aca="true" t="shared" si="10" ref="E23:R23">+E15+E20</f>
        <v>143.06444240000002</v>
      </c>
      <c r="F23" s="74">
        <f t="shared" si="10"/>
        <v>138.66849620800002</v>
      </c>
      <c r="G23" s="74">
        <f t="shared" si="10"/>
        <v>134.215706925784</v>
      </c>
      <c r="H23" s="74">
        <f t="shared" si="10"/>
        <v>131.0524380194245</v>
      </c>
      <c r="I23" s="74">
        <f t="shared" si="10"/>
        <v>127.26019784361472</v>
      </c>
      <c r="J23" s="74">
        <f t="shared" si="10"/>
        <v>123.80299765883046</v>
      </c>
      <c r="K23" s="74">
        <f t="shared" si="10"/>
        <v>120.67017253974207</v>
      </c>
      <c r="L23" s="74">
        <f t="shared" si="10"/>
        <v>117.85186389378671</v>
      </c>
      <c r="M23" s="74">
        <f t="shared" si="10"/>
        <v>116.08368965510647</v>
      </c>
      <c r="N23" s="74">
        <f t="shared" si="10"/>
        <v>114.54709393269721</v>
      </c>
      <c r="O23" s="74">
        <f t="shared" si="10"/>
        <v>113.23880732008269</v>
      </c>
      <c r="P23" s="74">
        <f t="shared" si="10"/>
        <v>112.15601566684228</v>
      </c>
      <c r="Q23" s="74">
        <f t="shared" si="10"/>
        <v>448.6240626673691</v>
      </c>
      <c r="R23" s="74">
        <f t="shared" si="10"/>
        <v>436.2770116889426</v>
      </c>
      <c r="S23" s="74">
        <f>+S15+S20</f>
        <v>467.8712827814079</v>
      </c>
      <c r="T23" s="74">
        <f>+T15+T20</f>
        <v>504.20469453774297</v>
      </c>
      <c r="U23" s="74">
        <f>+U15+U20</f>
        <v>545.9881180575284</v>
      </c>
      <c r="V23" s="74">
        <f>+V15+V20</f>
        <v>594.0390551052815</v>
      </c>
      <c r="X23" s="27"/>
      <c r="Y23" s="28"/>
    </row>
    <row r="24" spans="1:25" s="25" customFormat="1" ht="13.5" thickTop="1">
      <c r="A24" s="30"/>
      <c r="B24" s="25" t="s">
        <v>75</v>
      </c>
      <c r="C24" s="24"/>
      <c r="D24" s="75">
        <f>+D23/D22</f>
        <v>0.46963102457708267</v>
      </c>
      <c r="E24" s="76">
        <f>+E23/E22</f>
        <v>0.4652126995936588</v>
      </c>
      <c r="F24" s="76">
        <f>+F23/F22</f>
        <v>0.45861419805289444</v>
      </c>
      <c r="G24" s="76">
        <f aca="true" t="shared" si="11" ref="G24:R24">+G23/G22</f>
        <v>0.45067977422780225</v>
      </c>
      <c r="H24" s="76">
        <f t="shared" si="11"/>
        <v>0.4459925166994989</v>
      </c>
      <c r="I24" s="76">
        <f t="shared" si="11"/>
        <v>0.43812214478973655</v>
      </c>
      <c r="J24" s="76">
        <f t="shared" si="11"/>
        <v>0.430366521236051</v>
      </c>
      <c r="K24" s="76">
        <f t="shared" si="11"/>
        <v>0.42274785351400296</v>
      </c>
      <c r="L24" s="76">
        <f t="shared" si="11"/>
        <v>0.4152879916967111</v>
      </c>
      <c r="M24" s="76">
        <f t="shared" si="11"/>
        <v>0.41064241625926123</v>
      </c>
      <c r="N24" s="76">
        <f t="shared" si="11"/>
        <v>0.40597458070137143</v>
      </c>
      <c r="O24" s="76">
        <f t="shared" si="11"/>
        <v>0.40130288950508397</v>
      </c>
      <c r="P24" s="76">
        <f t="shared" si="11"/>
        <v>0.3966458079840213</v>
      </c>
      <c r="Q24" s="76">
        <f t="shared" si="11"/>
        <v>0.3966458079840213</v>
      </c>
      <c r="R24" s="76">
        <f t="shared" si="11"/>
        <v>0.3811800881517131</v>
      </c>
      <c r="S24" s="76">
        <f>+S23/S22</f>
        <v>0.3743397718276688</v>
      </c>
      <c r="T24" s="76">
        <f>+T23/T22</f>
        <v>0.36777259620938557</v>
      </c>
      <c r="U24" s="76">
        <f>+U23/U22</f>
        <v>0.36152246708879116</v>
      </c>
      <c r="V24" s="76">
        <f>+V23/V22</f>
        <v>0.35562331522006424</v>
      </c>
      <c r="X24" s="27"/>
      <c r="Y24" s="28"/>
    </row>
    <row r="25" spans="1:25" s="2" customFormat="1" ht="12.75">
      <c r="A25" s="29"/>
      <c r="B25" s="94"/>
      <c r="C25" s="3"/>
      <c r="D25" s="42"/>
      <c r="X25" s="9"/>
      <c r="Y25" s="11"/>
    </row>
    <row r="26" spans="1:25" s="25" customFormat="1" ht="12.75">
      <c r="A26" s="30"/>
      <c r="B26" s="24"/>
      <c r="C26" s="24"/>
      <c r="D26" s="4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X26" s="27"/>
      <c r="Y26" s="28"/>
    </row>
    <row r="27" spans="1:25" s="2" customFormat="1" ht="12.75">
      <c r="A27" s="29"/>
      <c r="B27" s="48" t="s">
        <v>44</v>
      </c>
      <c r="D27" s="4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29"/>
      <c r="B28" s="24" t="s">
        <v>15</v>
      </c>
      <c r="D28" s="4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29"/>
      <c r="B29" s="1" t="s">
        <v>78</v>
      </c>
      <c r="D29" s="44">
        <f>266*0.05/4</f>
        <v>3.325</v>
      </c>
      <c r="E29" s="12">
        <v>2.07</v>
      </c>
      <c r="F29" s="12">
        <v>1.7825</v>
      </c>
      <c r="G29" s="1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29"/>
      <c r="B30" s="1" t="s">
        <v>79</v>
      </c>
      <c r="D30" s="44"/>
      <c r="E30" s="12">
        <f>+Y65/4</f>
        <v>2.629</v>
      </c>
      <c r="F30" s="12">
        <f>+E30</f>
        <v>2.629</v>
      </c>
      <c r="G30" s="12">
        <f>+F30</f>
        <v>2.629</v>
      </c>
      <c r="H30" s="12">
        <f>+G30</f>
        <v>2.629</v>
      </c>
      <c r="I30" s="12">
        <f>+H30*0.5</f>
        <v>1.3145</v>
      </c>
      <c r="J30" s="12"/>
      <c r="K30" s="12"/>
      <c r="L30" s="12"/>
      <c r="M30" s="26">
        <v>1.65</v>
      </c>
      <c r="N30" s="26">
        <v>1.65</v>
      </c>
      <c r="O30" s="26">
        <v>1.65</v>
      </c>
      <c r="P30" s="26">
        <v>1.65</v>
      </c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29"/>
      <c r="B31" s="1" t="s">
        <v>23</v>
      </c>
      <c r="C31" s="61" t="s">
        <v>61</v>
      </c>
      <c r="D31" s="4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29"/>
      <c r="B32" s="1" t="s">
        <v>32</v>
      </c>
      <c r="D32" s="44">
        <f aca="true" t="shared" si="12" ref="D32:K32">+$Y67/4</f>
        <v>2.875</v>
      </c>
      <c r="E32" s="12">
        <f t="shared" si="12"/>
        <v>2.875</v>
      </c>
      <c r="F32" s="12">
        <f t="shared" si="12"/>
        <v>2.875</v>
      </c>
      <c r="G32" s="12">
        <f t="shared" si="12"/>
        <v>2.875</v>
      </c>
      <c r="H32" s="12">
        <f t="shared" si="12"/>
        <v>2.875</v>
      </c>
      <c r="I32" s="12">
        <f t="shared" si="12"/>
        <v>2.875</v>
      </c>
      <c r="J32" s="12">
        <f t="shared" si="12"/>
        <v>2.875</v>
      </c>
      <c r="K32" s="12">
        <f t="shared" si="12"/>
        <v>2.875</v>
      </c>
      <c r="L32" s="118">
        <v>0.9</v>
      </c>
      <c r="M32" s="118">
        <f>+$Y67/4*0</f>
        <v>0</v>
      </c>
      <c r="N32" s="118">
        <f>+M32</f>
        <v>0</v>
      </c>
      <c r="O32" s="118">
        <f>+N32</f>
        <v>0</v>
      </c>
      <c r="P32" s="118">
        <f>+O32</f>
        <v>0</v>
      </c>
      <c r="Q32" s="118">
        <f>+P32*4</f>
        <v>0</v>
      </c>
      <c r="R32" s="118">
        <f>+Q32</f>
        <v>0</v>
      </c>
      <c r="S32" s="118">
        <f>+R32</f>
        <v>0</v>
      </c>
      <c r="T32" s="118">
        <f>+S32</f>
        <v>0</v>
      </c>
      <c r="U32" s="118">
        <f>+T32</f>
        <v>0</v>
      </c>
      <c r="V32" s="118">
        <f>+U32</f>
        <v>0</v>
      </c>
      <c r="X32" s="9"/>
      <c r="Y32" s="11"/>
    </row>
    <row r="33" spans="1:25" s="2" customFormat="1" ht="12.75">
      <c r="A33" s="29"/>
      <c r="B33" s="1" t="s">
        <v>13</v>
      </c>
      <c r="D33" s="4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29"/>
      <c r="B34" s="7" t="s">
        <v>25</v>
      </c>
      <c r="D34" s="44">
        <f aca="true" t="shared" si="13" ref="D34:P41">+$Y69/4</f>
        <v>2.1125000000000003</v>
      </c>
      <c r="E34" s="12">
        <f t="shared" si="13"/>
        <v>2.1125000000000003</v>
      </c>
      <c r="F34" s="12">
        <f t="shared" si="13"/>
        <v>2.1125000000000003</v>
      </c>
      <c r="G34" s="12">
        <f t="shared" si="13"/>
        <v>2.1125000000000003</v>
      </c>
      <c r="H34" s="12">
        <f t="shared" si="13"/>
        <v>2.1125000000000003</v>
      </c>
      <c r="I34" s="12">
        <f t="shared" si="13"/>
        <v>2.1125000000000003</v>
      </c>
      <c r="J34" s="12">
        <f t="shared" si="13"/>
        <v>2.1125000000000003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29"/>
      <c r="B35" s="1" t="s">
        <v>24</v>
      </c>
      <c r="D35" s="44">
        <f t="shared" si="13"/>
        <v>2.140625</v>
      </c>
      <c r="E35" s="12">
        <f t="shared" si="13"/>
        <v>2.140625</v>
      </c>
      <c r="F35" s="12">
        <f t="shared" si="13"/>
        <v>2.140625</v>
      </c>
      <c r="G35" s="12">
        <f t="shared" si="13"/>
        <v>2.140625</v>
      </c>
      <c r="H35" s="12">
        <f t="shared" si="13"/>
        <v>2.140625</v>
      </c>
      <c r="I35" s="12">
        <f t="shared" si="13"/>
        <v>2.140625</v>
      </c>
      <c r="J35" s="12">
        <f t="shared" si="13"/>
        <v>2.140625</v>
      </c>
      <c r="K35" s="12">
        <f t="shared" si="13"/>
        <v>2.140625</v>
      </c>
      <c r="L35" s="12">
        <f t="shared" si="13"/>
        <v>2.140625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29"/>
      <c r="B36" s="1" t="s">
        <v>26</v>
      </c>
      <c r="D36" s="44">
        <f t="shared" si="13"/>
        <v>3.640125</v>
      </c>
      <c r="E36" s="12">
        <f t="shared" si="13"/>
        <v>3.640125</v>
      </c>
      <c r="F36" s="12">
        <f t="shared" si="13"/>
        <v>3.640125</v>
      </c>
      <c r="G36" s="12">
        <f t="shared" si="13"/>
        <v>3.640125</v>
      </c>
      <c r="H36" s="12">
        <f t="shared" si="13"/>
        <v>3.640125</v>
      </c>
      <c r="I36" s="12">
        <f t="shared" si="13"/>
        <v>3.640125</v>
      </c>
      <c r="J36" s="12">
        <f t="shared" si="13"/>
        <v>3.640125</v>
      </c>
      <c r="K36" s="12">
        <f t="shared" si="13"/>
        <v>3.640125</v>
      </c>
      <c r="L36" s="12">
        <f t="shared" si="13"/>
        <v>3.640125</v>
      </c>
      <c r="M36" s="12">
        <f t="shared" si="13"/>
        <v>3.640125</v>
      </c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29"/>
      <c r="B37" s="1" t="s">
        <v>27</v>
      </c>
      <c r="D37" s="44">
        <f t="shared" si="13"/>
        <v>2.5185</v>
      </c>
      <c r="E37" s="12">
        <f t="shared" si="13"/>
        <v>2.5185</v>
      </c>
      <c r="F37" s="12">
        <f t="shared" si="13"/>
        <v>2.5185</v>
      </c>
      <c r="G37" s="12">
        <f t="shared" si="13"/>
        <v>2.5185</v>
      </c>
      <c r="H37" s="12">
        <f t="shared" si="13"/>
        <v>2.5185</v>
      </c>
      <c r="I37" s="12">
        <f t="shared" si="13"/>
        <v>2.5185</v>
      </c>
      <c r="J37" s="12">
        <f t="shared" si="13"/>
        <v>2.5185</v>
      </c>
      <c r="K37" s="12">
        <f t="shared" si="13"/>
        <v>2.5185</v>
      </c>
      <c r="L37" s="12">
        <f t="shared" si="13"/>
        <v>2.5185</v>
      </c>
      <c r="M37" s="12">
        <f t="shared" si="13"/>
        <v>2.5185</v>
      </c>
      <c r="N37" s="12">
        <f t="shared" si="13"/>
        <v>2.5185</v>
      </c>
      <c r="O37" s="12">
        <f t="shared" si="13"/>
        <v>2.5185</v>
      </c>
      <c r="P37" s="12">
        <f t="shared" si="13"/>
        <v>2.5185</v>
      </c>
      <c r="Q37" s="12">
        <v>1.5</v>
      </c>
      <c r="R37" s="12"/>
      <c r="S37" s="12"/>
      <c r="T37" s="12"/>
      <c r="U37" s="12"/>
      <c r="V37" s="12"/>
      <c r="X37" s="9"/>
      <c r="Y37" s="11"/>
    </row>
    <row r="38" spans="1:25" s="2" customFormat="1" ht="12.75">
      <c r="A38" s="29"/>
      <c r="B38" s="1" t="s">
        <v>28</v>
      </c>
      <c r="D38" s="44">
        <f t="shared" si="13"/>
        <v>4.2</v>
      </c>
      <c r="E38" s="12">
        <f t="shared" si="13"/>
        <v>4.2</v>
      </c>
      <c r="F38" s="12">
        <f t="shared" si="13"/>
        <v>4.2</v>
      </c>
      <c r="G38" s="12">
        <f t="shared" si="13"/>
        <v>4.2</v>
      </c>
      <c r="H38" s="12">
        <f t="shared" si="13"/>
        <v>4.2</v>
      </c>
      <c r="I38" s="12">
        <f t="shared" si="13"/>
        <v>4.2</v>
      </c>
      <c r="J38" s="12">
        <f t="shared" si="13"/>
        <v>4.2</v>
      </c>
      <c r="K38" s="12">
        <f t="shared" si="13"/>
        <v>4.2</v>
      </c>
      <c r="L38" s="12">
        <f t="shared" si="13"/>
        <v>4.2</v>
      </c>
      <c r="M38" s="12">
        <f t="shared" si="13"/>
        <v>4.2</v>
      </c>
      <c r="N38" s="12">
        <f t="shared" si="13"/>
        <v>4.2</v>
      </c>
      <c r="O38" s="12">
        <f t="shared" si="13"/>
        <v>4.2</v>
      </c>
      <c r="P38" s="12">
        <f t="shared" si="13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29"/>
      <c r="B39" s="1" t="s">
        <v>29</v>
      </c>
      <c r="D39" s="44">
        <f t="shared" si="13"/>
        <v>1.769625</v>
      </c>
      <c r="E39" s="12">
        <f t="shared" si="13"/>
        <v>1.769625</v>
      </c>
      <c r="F39" s="12">
        <f t="shared" si="13"/>
        <v>1.769625</v>
      </c>
      <c r="G39" s="12">
        <f t="shared" si="13"/>
        <v>1.769625</v>
      </c>
      <c r="H39" s="12">
        <f t="shared" si="13"/>
        <v>1.769625</v>
      </c>
      <c r="I39" s="12">
        <f t="shared" si="13"/>
        <v>1.769625</v>
      </c>
      <c r="J39" s="12">
        <f t="shared" si="13"/>
        <v>1.769625</v>
      </c>
      <c r="K39" s="12">
        <f t="shared" si="13"/>
        <v>1.769625</v>
      </c>
      <c r="L39" s="12">
        <f t="shared" si="13"/>
        <v>1.769625</v>
      </c>
      <c r="M39" s="12">
        <f t="shared" si="13"/>
        <v>1.769625</v>
      </c>
      <c r="N39" s="12">
        <f t="shared" si="13"/>
        <v>1.769625</v>
      </c>
      <c r="O39" s="12">
        <f t="shared" si="13"/>
        <v>1.769625</v>
      </c>
      <c r="P39" s="12">
        <f t="shared" si="13"/>
        <v>1.769625</v>
      </c>
      <c r="Q39" s="12">
        <f>+P39*4</f>
        <v>7.0785</v>
      </c>
      <c r="R39" s="12">
        <f aca="true" t="shared" si="14" ref="R39:T41">+Q39</f>
        <v>7.0785</v>
      </c>
      <c r="S39" s="12">
        <f t="shared" si="14"/>
        <v>7.0785</v>
      </c>
      <c r="T39" s="12">
        <f t="shared" si="14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29"/>
      <c r="B40" s="1" t="s">
        <v>30</v>
      </c>
      <c r="D40" s="44">
        <f t="shared" si="13"/>
        <v>5.8125</v>
      </c>
      <c r="E40" s="12">
        <f t="shared" si="13"/>
        <v>5.8125</v>
      </c>
      <c r="F40" s="12">
        <f t="shared" si="13"/>
        <v>5.8125</v>
      </c>
      <c r="G40" s="12">
        <f t="shared" si="13"/>
        <v>5.8125</v>
      </c>
      <c r="H40" s="12">
        <f t="shared" si="13"/>
        <v>5.8125</v>
      </c>
      <c r="I40" s="12">
        <f t="shared" si="13"/>
        <v>5.8125</v>
      </c>
      <c r="J40" s="12">
        <f t="shared" si="13"/>
        <v>5.8125</v>
      </c>
      <c r="K40" s="12">
        <f t="shared" si="13"/>
        <v>5.8125</v>
      </c>
      <c r="L40" s="12">
        <f t="shared" si="13"/>
        <v>5.8125</v>
      </c>
      <c r="M40" s="12">
        <f t="shared" si="13"/>
        <v>5.8125</v>
      </c>
      <c r="N40" s="12">
        <f t="shared" si="13"/>
        <v>5.8125</v>
      </c>
      <c r="O40" s="12">
        <f t="shared" si="13"/>
        <v>5.8125</v>
      </c>
      <c r="P40" s="12">
        <f t="shared" si="13"/>
        <v>5.8125</v>
      </c>
      <c r="Q40" s="12">
        <f>+P40*4</f>
        <v>23.25</v>
      </c>
      <c r="R40" s="12">
        <f t="shared" si="14"/>
        <v>23.25</v>
      </c>
      <c r="S40" s="12">
        <f t="shared" si="14"/>
        <v>23.25</v>
      </c>
      <c r="T40" s="12">
        <f t="shared" si="14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29"/>
      <c r="B41" s="1" t="s">
        <v>31</v>
      </c>
      <c r="D41" s="44">
        <f t="shared" si="13"/>
        <v>0.265625</v>
      </c>
      <c r="E41" s="12">
        <f t="shared" si="13"/>
        <v>0.265625</v>
      </c>
      <c r="F41" s="12">
        <f t="shared" si="13"/>
        <v>0.265625</v>
      </c>
      <c r="G41" s="12">
        <f t="shared" si="13"/>
        <v>0.265625</v>
      </c>
      <c r="H41" s="12">
        <f t="shared" si="13"/>
        <v>0.265625</v>
      </c>
      <c r="I41" s="12">
        <f t="shared" si="13"/>
        <v>0.265625</v>
      </c>
      <c r="J41" s="12">
        <f t="shared" si="13"/>
        <v>0.265625</v>
      </c>
      <c r="K41" s="12">
        <f t="shared" si="13"/>
        <v>0.265625</v>
      </c>
      <c r="L41" s="12">
        <f t="shared" si="13"/>
        <v>0.265625</v>
      </c>
      <c r="M41" s="12">
        <f t="shared" si="13"/>
        <v>0.265625</v>
      </c>
      <c r="N41" s="12">
        <f t="shared" si="13"/>
        <v>0.265625</v>
      </c>
      <c r="O41" s="12">
        <f t="shared" si="13"/>
        <v>0.265625</v>
      </c>
      <c r="P41" s="12">
        <f t="shared" si="13"/>
        <v>0.265625</v>
      </c>
      <c r="Q41" s="12">
        <f>+P41*4</f>
        <v>1.0625</v>
      </c>
      <c r="R41" s="12">
        <f t="shared" si="14"/>
        <v>1.0625</v>
      </c>
      <c r="S41" s="12">
        <f t="shared" si="14"/>
        <v>1.0625</v>
      </c>
      <c r="T41" s="12">
        <f t="shared" si="14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" customFormat="1" ht="12.75">
      <c r="A42" s="29"/>
      <c r="B42" s="18" t="s">
        <v>88</v>
      </c>
      <c r="D42" s="44">
        <f>35.6-28.7</f>
        <v>6.900000000000002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29"/>
      <c r="B43" s="24" t="s">
        <v>36</v>
      </c>
      <c r="D43" s="4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29"/>
      <c r="B44" s="2" t="s">
        <v>16</v>
      </c>
      <c r="D44" s="44">
        <v>27.3</v>
      </c>
      <c r="E44" s="12">
        <v>32.5</v>
      </c>
      <c r="F44" s="12">
        <f aca="true" t="shared" si="15" ref="F44:P44">+E44</f>
        <v>32.5</v>
      </c>
      <c r="G44" s="12">
        <f t="shared" si="15"/>
        <v>32.5</v>
      </c>
      <c r="H44" s="12">
        <f t="shared" si="15"/>
        <v>32.5</v>
      </c>
      <c r="I44" s="12">
        <v>35</v>
      </c>
      <c r="J44" s="12">
        <f t="shared" si="15"/>
        <v>35</v>
      </c>
      <c r="K44" s="12">
        <f t="shared" si="15"/>
        <v>35</v>
      </c>
      <c r="L44" s="12">
        <f t="shared" si="15"/>
        <v>35</v>
      </c>
      <c r="M44" s="12">
        <f t="shared" si="15"/>
        <v>35</v>
      </c>
      <c r="N44" s="12">
        <f t="shared" si="15"/>
        <v>35</v>
      </c>
      <c r="O44" s="12">
        <f t="shared" si="15"/>
        <v>35</v>
      </c>
      <c r="P44" s="12">
        <f t="shared" si="15"/>
        <v>35</v>
      </c>
      <c r="Q44" s="12">
        <f>+P44*4</f>
        <v>140</v>
      </c>
      <c r="R44" s="12">
        <f>+Q44</f>
        <v>140</v>
      </c>
      <c r="S44" s="12">
        <f>+R44</f>
        <v>140</v>
      </c>
      <c r="T44" s="12">
        <f>+S44</f>
        <v>140</v>
      </c>
      <c r="U44" s="12">
        <f>+T44</f>
        <v>140</v>
      </c>
      <c r="V44" s="12">
        <f>+U44</f>
        <v>140</v>
      </c>
      <c r="X44" s="9"/>
      <c r="Y44" s="11"/>
    </row>
    <row r="45" spans="1:25" s="2" customFormat="1" ht="12.75">
      <c r="A45" s="29"/>
      <c r="B45" s="2" t="s">
        <v>12</v>
      </c>
      <c r="D45" s="44"/>
      <c r="E45" s="12">
        <v>0</v>
      </c>
      <c r="F45" s="12">
        <f>+E45</f>
        <v>0</v>
      </c>
      <c r="G45" s="12">
        <f>+F45</f>
        <v>0</v>
      </c>
      <c r="H45" s="12">
        <f>+G45</f>
        <v>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29"/>
      <c r="D46" s="4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X46" s="9"/>
      <c r="Y46" s="11"/>
    </row>
    <row r="47" spans="1:25" s="2" customFormat="1" ht="12.75">
      <c r="A47" s="29"/>
      <c r="B47" s="2" t="s">
        <v>66</v>
      </c>
      <c r="D47" s="44">
        <v>14.7</v>
      </c>
      <c r="E47" s="12">
        <v>12.5</v>
      </c>
      <c r="F47" s="12">
        <f>+E47</f>
        <v>12.5</v>
      </c>
      <c r="G47" s="12">
        <f aca="true" t="shared" si="16" ref="G47:P47">+F47</f>
        <v>12.5</v>
      </c>
      <c r="H47" s="12">
        <f t="shared" si="16"/>
        <v>12.5</v>
      </c>
      <c r="I47" s="12">
        <f t="shared" si="16"/>
        <v>12.5</v>
      </c>
      <c r="J47" s="12">
        <f t="shared" si="16"/>
        <v>12.5</v>
      </c>
      <c r="K47" s="12">
        <f t="shared" si="16"/>
        <v>12.5</v>
      </c>
      <c r="L47" s="12">
        <f t="shared" si="16"/>
        <v>12.5</v>
      </c>
      <c r="M47" s="12">
        <f t="shared" si="16"/>
        <v>12.5</v>
      </c>
      <c r="N47" s="12">
        <f t="shared" si="16"/>
        <v>12.5</v>
      </c>
      <c r="O47" s="12">
        <f t="shared" si="16"/>
        <v>12.5</v>
      </c>
      <c r="P47" s="12">
        <f t="shared" si="16"/>
        <v>12.5</v>
      </c>
      <c r="Q47" s="12">
        <f>+P47*4</f>
        <v>50</v>
      </c>
      <c r="R47" s="12">
        <f>+Q47</f>
        <v>50</v>
      </c>
      <c r="S47" s="12">
        <f>+R47</f>
        <v>50</v>
      </c>
      <c r="T47" s="12">
        <f>+S47</f>
        <v>50</v>
      </c>
      <c r="U47" s="12">
        <f>+T47</f>
        <v>50</v>
      </c>
      <c r="V47" s="12">
        <f>+U47</f>
        <v>50</v>
      </c>
      <c r="X47" s="9"/>
      <c r="Y47" s="11"/>
    </row>
    <row r="48" spans="1:25" s="2" customFormat="1" ht="12.75">
      <c r="A48" s="29"/>
      <c r="D48" s="4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X48" s="9"/>
      <c r="Y48" s="11"/>
    </row>
    <row r="49" spans="1:25" s="2" customFormat="1" ht="12.75">
      <c r="A49" s="29"/>
      <c r="B49" s="2" t="s">
        <v>89</v>
      </c>
      <c r="D49" s="44">
        <v>2.9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X49" s="9"/>
      <c r="Y49" s="11"/>
    </row>
    <row r="50" spans="1:25" s="2" customFormat="1" ht="12.75">
      <c r="A50" s="29"/>
      <c r="B50" s="2" t="s">
        <v>90</v>
      </c>
      <c r="D50" s="44">
        <v>0.5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X50" s="9"/>
      <c r="Y50" s="11"/>
    </row>
    <row r="51" spans="1:25" s="2" customFormat="1" ht="12.75">
      <c r="A51" s="29"/>
      <c r="B51" s="24" t="s">
        <v>17</v>
      </c>
      <c r="C51" s="99" t="s">
        <v>94</v>
      </c>
      <c r="D51" s="44">
        <v>10</v>
      </c>
      <c r="E51" s="12">
        <v>0</v>
      </c>
      <c r="F51" s="12">
        <v>0</v>
      </c>
      <c r="G51" s="12">
        <f aca="true" t="shared" si="17" ref="G51:P51">+F51</f>
        <v>0</v>
      </c>
      <c r="H51" s="12">
        <f t="shared" si="17"/>
        <v>0</v>
      </c>
      <c r="I51" s="12">
        <f t="shared" si="17"/>
        <v>0</v>
      </c>
      <c r="J51" s="12">
        <f t="shared" si="17"/>
        <v>0</v>
      </c>
      <c r="K51" s="12">
        <f t="shared" si="17"/>
        <v>0</v>
      </c>
      <c r="L51" s="12">
        <f t="shared" si="17"/>
        <v>0</v>
      </c>
      <c r="M51" s="12">
        <f t="shared" si="17"/>
        <v>0</v>
      </c>
      <c r="N51" s="12">
        <f t="shared" si="17"/>
        <v>0</v>
      </c>
      <c r="O51" s="12">
        <f t="shared" si="17"/>
        <v>0</v>
      </c>
      <c r="P51" s="12">
        <f t="shared" si="17"/>
        <v>0</v>
      </c>
      <c r="Q51" s="12">
        <f>+P51*4</f>
        <v>0</v>
      </c>
      <c r="R51" s="12">
        <f>+Q51</f>
        <v>0</v>
      </c>
      <c r="S51" s="12">
        <f>+R51</f>
        <v>0</v>
      </c>
      <c r="T51" s="12">
        <f>+S51</f>
        <v>0</v>
      </c>
      <c r="U51" s="12">
        <f>+T51</f>
        <v>0</v>
      </c>
      <c r="V51" s="12">
        <f>+U51</f>
        <v>0</v>
      </c>
      <c r="X51" s="9"/>
      <c r="Y51" s="11"/>
    </row>
    <row r="52" spans="1:25" s="2" customFormat="1" ht="12.75">
      <c r="A52" s="29"/>
      <c r="C52" s="99"/>
      <c r="D52" s="45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X52" s="9"/>
      <c r="Y52" s="11"/>
    </row>
    <row r="53" spans="1:25" s="25" customFormat="1" ht="12.75">
      <c r="A53" s="30" t="s">
        <v>37</v>
      </c>
      <c r="B53" s="24" t="s">
        <v>19</v>
      </c>
      <c r="D53" s="43">
        <f>SUM(D28:D52)</f>
        <v>90.9595</v>
      </c>
      <c r="E53" s="26">
        <f>SUM(E28:E52)</f>
        <v>75.0335</v>
      </c>
      <c r="F53" s="26">
        <f aca="true" t="shared" si="18" ref="F53:R53">SUM(F28:F52)</f>
        <v>74.74600000000001</v>
      </c>
      <c r="G53" s="26">
        <f t="shared" si="18"/>
        <v>74.4585</v>
      </c>
      <c r="H53" s="26">
        <f t="shared" si="18"/>
        <v>74.17099999999999</v>
      </c>
      <c r="I53" s="26">
        <f t="shared" si="18"/>
        <v>75.069</v>
      </c>
      <c r="J53" s="26">
        <f t="shared" si="18"/>
        <v>72.8345</v>
      </c>
      <c r="K53" s="26">
        <f t="shared" si="18"/>
        <v>70.72200000000001</v>
      </c>
      <c r="L53" s="26">
        <f t="shared" si="18"/>
        <v>68.747</v>
      </c>
      <c r="M53" s="26">
        <f t="shared" si="18"/>
        <v>67.356375</v>
      </c>
      <c r="N53" s="26">
        <f t="shared" si="18"/>
        <v>63.71625</v>
      </c>
      <c r="O53" s="26">
        <f t="shared" si="18"/>
        <v>63.71625</v>
      </c>
      <c r="P53" s="26">
        <f t="shared" si="18"/>
        <v>63.71625</v>
      </c>
      <c r="Q53" s="26">
        <f t="shared" si="18"/>
        <v>239.691</v>
      </c>
      <c r="R53" s="26">
        <f t="shared" si="18"/>
        <v>224.191</v>
      </c>
      <c r="S53" s="26">
        <f>SUM(S28:S52)</f>
        <v>221.391</v>
      </c>
      <c r="T53" s="26">
        <f>SUM(T28:T52)</f>
        <v>221.391</v>
      </c>
      <c r="U53" s="26">
        <f>SUM(U28:U52)</f>
        <v>220.68315</v>
      </c>
      <c r="V53" s="26">
        <f>SUM(V28:V52)</f>
        <v>196.875</v>
      </c>
      <c r="X53" s="27"/>
      <c r="Y53" s="28"/>
    </row>
    <row r="54" spans="1:25" s="25" customFormat="1" ht="12.75">
      <c r="A54" s="30"/>
      <c r="B54" s="24"/>
      <c r="D54" s="4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X54" s="27"/>
      <c r="Y54" s="28"/>
    </row>
    <row r="55" spans="1:25" s="25" customFormat="1" ht="12.75">
      <c r="A55" s="30"/>
      <c r="B55" s="3" t="s">
        <v>33</v>
      </c>
      <c r="C55" s="3"/>
      <c r="D55" s="44">
        <v>52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X55" s="27"/>
      <c r="Y55" s="28"/>
    </row>
    <row r="56" spans="1:25" s="2" customFormat="1" ht="12.75">
      <c r="A56" s="29"/>
      <c r="B56" s="3" t="s">
        <v>51</v>
      </c>
      <c r="C56" s="3"/>
      <c r="D56" s="45">
        <v>72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X56" s="9"/>
      <c r="Y56" s="11"/>
    </row>
    <row r="57" spans="1:25" s="25" customFormat="1" ht="13.5" thickBot="1">
      <c r="A57" s="30" t="s">
        <v>38</v>
      </c>
      <c r="B57" s="24" t="s">
        <v>40</v>
      </c>
      <c r="C57" s="30" t="s">
        <v>41</v>
      </c>
      <c r="D57" s="46">
        <f>+D23-D53+D56+D55</f>
        <v>180.1759</v>
      </c>
      <c r="E57" s="31">
        <f aca="true" t="shared" si="19" ref="E57:R57">+E23-E53</f>
        <v>68.03094240000001</v>
      </c>
      <c r="F57" s="31">
        <f t="shared" si="19"/>
        <v>63.92249620800001</v>
      </c>
      <c r="G57" s="31">
        <f t="shared" si="19"/>
        <v>59.75720692578399</v>
      </c>
      <c r="H57" s="31">
        <f t="shared" si="19"/>
        <v>56.88143801942451</v>
      </c>
      <c r="I57" s="31">
        <f t="shared" si="19"/>
        <v>52.19119784361472</v>
      </c>
      <c r="J57" s="31">
        <f t="shared" si="19"/>
        <v>50.96849765883046</v>
      </c>
      <c r="K57" s="31">
        <f t="shared" si="19"/>
        <v>49.94817253974206</v>
      </c>
      <c r="L57" s="31">
        <f t="shared" si="19"/>
        <v>49.104863893786714</v>
      </c>
      <c r="M57" s="31">
        <f t="shared" si="19"/>
        <v>48.72731465510647</v>
      </c>
      <c r="N57" s="31">
        <f t="shared" si="19"/>
        <v>50.830843932697206</v>
      </c>
      <c r="O57" s="31">
        <f t="shared" si="19"/>
        <v>49.52255732008268</v>
      </c>
      <c r="P57" s="31">
        <f t="shared" si="19"/>
        <v>48.43976566684228</v>
      </c>
      <c r="Q57" s="133">
        <f t="shared" si="19"/>
        <v>208.93306266736911</v>
      </c>
      <c r="R57" s="133">
        <f t="shared" si="19"/>
        <v>212.0860116889426</v>
      </c>
      <c r="S57" s="133">
        <f>+S23-S53</f>
        <v>246.4802827814079</v>
      </c>
      <c r="T57" s="133">
        <f>+T23-T53</f>
        <v>282.813694537743</v>
      </c>
      <c r="U57" s="133">
        <f>+U23-U53</f>
        <v>325.30496805752836</v>
      </c>
      <c r="V57" s="133">
        <f>+V23-V53</f>
        <v>397.1640551052815</v>
      </c>
      <c r="X57" s="27"/>
      <c r="Y57" s="28"/>
    </row>
    <row r="58" spans="1:25" s="25" customFormat="1" ht="13.5" thickTop="1">
      <c r="A58" s="30"/>
      <c r="B58" s="24"/>
      <c r="C58" s="30"/>
      <c r="D58" s="4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X58" s="27"/>
      <c r="Y58" s="28"/>
    </row>
    <row r="59" spans="1:25" s="25" customFormat="1" ht="12.75">
      <c r="A59" s="30"/>
      <c r="B59" s="24"/>
      <c r="C59" s="30"/>
      <c r="D59" s="4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X59" s="27"/>
      <c r="Y59" s="28"/>
    </row>
    <row r="60" spans="1:25" s="25" customFormat="1" ht="12.75">
      <c r="A60" s="30"/>
      <c r="B60" s="24"/>
      <c r="C60" s="30"/>
      <c r="D60" s="43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X60" s="27"/>
      <c r="Y60" s="28"/>
    </row>
    <row r="61" spans="1:25" s="25" customFormat="1" ht="12.75">
      <c r="A61" s="30"/>
      <c r="B61" s="24"/>
      <c r="C61" s="30"/>
      <c r="D61" s="4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X61" s="27"/>
      <c r="Y61" s="28"/>
    </row>
    <row r="62" spans="1:25" s="2" customFormat="1" ht="12.75">
      <c r="A62" s="29"/>
      <c r="B62" s="3"/>
      <c r="C62" s="3"/>
      <c r="D62" s="4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X62" s="37" t="s">
        <v>52</v>
      </c>
      <c r="Y62" s="38" t="s">
        <v>46</v>
      </c>
    </row>
    <row r="63" spans="2:25" ht="12.75">
      <c r="B63" s="49" t="s">
        <v>20</v>
      </c>
      <c r="D63" s="47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X63" s="39" t="s">
        <v>20</v>
      </c>
      <c r="Y63" s="40" t="s">
        <v>45</v>
      </c>
    </row>
    <row r="64" spans="1:25" ht="12.75">
      <c r="A64" s="16" t="s">
        <v>39</v>
      </c>
      <c r="B64" s="1" t="s">
        <v>76</v>
      </c>
      <c r="C64" s="1">
        <v>250</v>
      </c>
      <c r="D64" s="47">
        <v>45</v>
      </c>
      <c r="E64" s="14">
        <v>25</v>
      </c>
      <c r="F64" s="14">
        <v>25</v>
      </c>
      <c r="G64" s="14">
        <v>25</v>
      </c>
      <c r="H64" s="14">
        <v>25</v>
      </c>
      <c r="I64" s="14">
        <f>250-(+D64+E64+F64+G64+H64)</f>
        <v>105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X64" s="10">
        <f>+C64-D64-E64</f>
        <v>180</v>
      </c>
      <c r="Y64" s="5">
        <f>+X64*0.044</f>
        <v>7.92</v>
      </c>
    </row>
    <row r="65" spans="1:25" ht="12.75">
      <c r="A65" s="16" t="s">
        <v>39</v>
      </c>
      <c r="B65" s="1" t="s">
        <v>77</v>
      </c>
      <c r="C65" s="1">
        <v>16</v>
      </c>
      <c r="D65" s="47">
        <v>16</v>
      </c>
      <c r="E65" s="34">
        <v>-239</v>
      </c>
      <c r="F65" s="14"/>
      <c r="G65" s="14"/>
      <c r="H65" s="14"/>
      <c r="I65" s="34">
        <v>239</v>
      </c>
      <c r="J65" s="14"/>
      <c r="K65" s="14"/>
      <c r="L65" s="14"/>
      <c r="M65" s="134">
        <v>-150</v>
      </c>
      <c r="N65" s="14"/>
      <c r="O65" s="14"/>
      <c r="P65" s="134">
        <v>150</v>
      </c>
      <c r="Q65" s="14"/>
      <c r="R65" s="14"/>
      <c r="S65" s="14"/>
      <c r="T65" s="14"/>
      <c r="U65" s="14"/>
      <c r="V65" s="14"/>
      <c r="X65" s="10">
        <v>239</v>
      </c>
      <c r="Y65" s="5">
        <f>+X65*0.044</f>
        <v>10.516</v>
      </c>
    </row>
    <row r="66" spans="1:24" ht="12.75">
      <c r="A66" s="16" t="s">
        <v>39</v>
      </c>
      <c r="B66" s="1" t="s">
        <v>23</v>
      </c>
      <c r="C66" s="1">
        <v>35</v>
      </c>
      <c r="D66" s="47">
        <v>35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X66" s="10">
        <f>+C66-D66</f>
        <v>0</v>
      </c>
    </row>
    <row r="67" spans="1:25" ht="12.75">
      <c r="A67" s="16" t="s">
        <v>39</v>
      </c>
      <c r="B67" s="93" t="s">
        <v>32</v>
      </c>
      <c r="C67" s="8">
        <f>+X67</f>
        <v>184</v>
      </c>
      <c r="D67" s="47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>
        <v>184</v>
      </c>
      <c r="T67" s="14"/>
      <c r="U67" s="14"/>
      <c r="V67" s="14"/>
      <c r="X67" s="10">
        <f aca="true" t="shared" si="20" ref="X67:X76">SUM(D67:W67)</f>
        <v>184</v>
      </c>
      <c r="Y67" s="5">
        <f>+X67*0.0625</f>
        <v>11.5</v>
      </c>
    </row>
    <row r="68" spans="1:22" ht="12.75">
      <c r="A68" s="16" t="s">
        <v>39</v>
      </c>
      <c r="B68" s="18" t="s">
        <v>13</v>
      </c>
      <c r="C68" s="1"/>
      <c r="D68" s="47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5" ht="12.75">
      <c r="A69" s="16" t="s">
        <v>39</v>
      </c>
      <c r="B69" s="7" t="s">
        <v>25</v>
      </c>
      <c r="C69" s="8">
        <v>130</v>
      </c>
      <c r="D69" s="47"/>
      <c r="E69" s="14"/>
      <c r="F69" s="14"/>
      <c r="G69" s="14"/>
      <c r="H69" s="14"/>
      <c r="I69" s="14"/>
      <c r="J69" s="14"/>
      <c r="K69" s="14">
        <v>130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f t="shared" si="20"/>
        <v>130</v>
      </c>
      <c r="Y69" s="5">
        <f>+X69*0.065</f>
        <v>8.450000000000001</v>
      </c>
    </row>
    <row r="70" spans="1:25" ht="12.75">
      <c r="A70" s="16" t="s">
        <v>39</v>
      </c>
      <c r="B70" s="1" t="s">
        <v>24</v>
      </c>
      <c r="C70" s="8">
        <v>125</v>
      </c>
      <c r="D70" s="47"/>
      <c r="E70" s="14"/>
      <c r="F70" s="14"/>
      <c r="G70" s="14"/>
      <c r="H70" s="14"/>
      <c r="I70" s="14"/>
      <c r="J70" s="14"/>
      <c r="K70" s="14"/>
      <c r="L70" s="14">
        <v>125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X70" s="10">
        <f t="shared" si="20"/>
        <v>125</v>
      </c>
      <c r="Y70" s="5">
        <f>+X70*0.0685</f>
        <v>8.5625</v>
      </c>
    </row>
    <row r="71" spans="1:25" ht="12.75">
      <c r="A71" s="16" t="s">
        <v>39</v>
      </c>
      <c r="B71" s="1" t="s">
        <v>26</v>
      </c>
      <c r="C71" s="8">
        <v>255</v>
      </c>
      <c r="D71" s="47"/>
      <c r="E71" s="14"/>
      <c r="F71" s="14"/>
      <c r="G71" s="14"/>
      <c r="H71" s="14"/>
      <c r="I71" s="14"/>
      <c r="J71" s="14"/>
      <c r="K71" s="14"/>
      <c r="L71" s="14"/>
      <c r="M71" s="14"/>
      <c r="N71" s="14">
        <v>255</v>
      </c>
      <c r="O71" s="14"/>
      <c r="P71" s="14"/>
      <c r="Q71" s="14"/>
      <c r="R71" s="14"/>
      <c r="S71" s="14"/>
      <c r="T71" s="14"/>
      <c r="U71" s="14"/>
      <c r="V71" s="14"/>
      <c r="X71" s="10">
        <f t="shared" si="20"/>
        <v>255</v>
      </c>
      <c r="Y71" s="5">
        <f>+X71*0.0571</f>
        <v>14.5605</v>
      </c>
    </row>
    <row r="72" spans="1:25" ht="12.75">
      <c r="A72" s="16" t="s">
        <v>39</v>
      </c>
      <c r="B72" s="1" t="s">
        <v>27</v>
      </c>
      <c r="C72" s="8">
        <v>138</v>
      </c>
      <c r="D72" s="47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v>138</v>
      </c>
      <c r="R72" s="14"/>
      <c r="S72" s="14"/>
      <c r="T72" s="14"/>
      <c r="U72" s="14"/>
      <c r="V72" s="14"/>
      <c r="X72" s="10">
        <f t="shared" si="20"/>
        <v>138</v>
      </c>
      <c r="Y72" s="5">
        <f>+X72*0.073</f>
        <v>10.074</v>
      </c>
    </row>
    <row r="73" spans="1:25" ht="12.75">
      <c r="A73" s="16" t="s">
        <v>39</v>
      </c>
      <c r="B73" s="1" t="s">
        <v>28</v>
      </c>
      <c r="C73" s="8">
        <v>320</v>
      </c>
      <c r="D73" s="47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>
        <v>320</v>
      </c>
      <c r="S73" s="14"/>
      <c r="T73" s="14"/>
      <c r="U73" s="14"/>
      <c r="V73" s="14"/>
      <c r="X73" s="10">
        <f t="shared" si="20"/>
        <v>320</v>
      </c>
      <c r="Y73" s="5">
        <f>+X73*0.0525</f>
        <v>16.8</v>
      </c>
    </row>
    <row r="74" spans="1:25" ht="12.75">
      <c r="A74" s="16" t="s">
        <v>39</v>
      </c>
      <c r="B74" s="1" t="s">
        <v>29</v>
      </c>
      <c r="C74" s="8">
        <v>121</v>
      </c>
      <c r="D74" s="47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>
        <v>121</v>
      </c>
      <c r="V74" s="14"/>
      <c r="X74" s="10">
        <f t="shared" si="20"/>
        <v>121</v>
      </c>
      <c r="Y74" s="5">
        <f>+X74*0.0585</f>
        <v>7.0785</v>
      </c>
    </row>
    <row r="75" spans="1:25" ht="12.75">
      <c r="A75" s="16" t="s">
        <v>39</v>
      </c>
      <c r="B75" s="1" t="s">
        <v>30</v>
      </c>
      <c r="C75" s="8">
        <v>300</v>
      </c>
      <c r="D75" s="47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>
        <v>300</v>
      </c>
      <c r="X75" s="10">
        <f t="shared" si="20"/>
        <v>300</v>
      </c>
      <c r="Y75" s="5">
        <f>+X75*0.0775</f>
        <v>23.25</v>
      </c>
    </row>
    <row r="76" spans="1:25" ht="12.75">
      <c r="A76" s="16" t="s">
        <v>39</v>
      </c>
      <c r="B76" s="1" t="s">
        <v>31</v>
      </c>
      <c r="C76" s="8">
        <v>17</v>
      </c>
      <c r="D76" s="47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v>17</v>
      </c>
      <c r="X76" s="10">
        <f t="shared" si="20"/>
        <v>17</v>
      </c>
      <c r="Y76" s="5">
        <f>+X76*0.0625</f>
        <v>1.0625</v>
      </c>
    </row>
    <row r="77" spans="2:22" ht="13.5" thickBot="1">
      <c r="B77" s="18" t="s">
        <v>65</v>
      </c>
      <c r="C77" s="63">
        <f>SUM(C64:C76)</f>
        <v>1891</v>
      </c>
      <c r="D77" s="47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5" s="15" customFormat="1" ht="14.25" thickBot="1" thickTop="1">
      <c r="A78" s="16" t="s">
        <v>42</v>
      </c>
      <c r="B78" s="15" t="s">
        <v>50</v>
      </c>
      <c r="C78" s="16" t="s">
        <v>48</v>
      </c>
      <c r="D78" s="108">
        <f aca="true" t="shared" si="21" ref="D78:R78">-SUM(D62:D77)+D57</f>
        <v>84.17590000000001</v>
      </c>
      <c r="E78" s="109">
        <f t="shared" si="21"/>
        <v>282.0309424</v>
      </c>
      <c r="F78" s="109">
        <f t="shared" si="21"/>
        <v>38.92249620800001</v>
      </c>
      <c r="G78" s="109">
        <f t="shared" si="21"/>
        <v>34.75720692578399</v>
      </c>
      <c r="H78" s="109">
        <f t="shared" si="21"/>
        <v>31.881438019424508</v>
      </c>
      <c r="I78" s="109">
        <f t="shared" si="21"/>
        <v>-291.8088021563853</v>
      </c>
      <c r="J78" s="109">
        <f t="shared" si="21"/>
        <v>50.96849765883046</v>
      </c>
      <c r="K78" s="109">
        <f t="shared" si="21"/>
        <v>-80.05182746025794</v>
      </c>
      <c r="L78" s="109">
        <f t="shared" si="21"/>
        <v>-75.89513610621329</v>
      </c>
      <c r="M78" s="109">
        <f t="shared" si="21"/>
        <v>198.72731465510645</v>
      </c>
      <c r="N78" s="109">
        <f t="shared" si="21"/>
        <v>-204.1691560673028</v>
      </c>
      <c r="O78" s="109">
        <f t="shared" si="21"/>
        <v>49.52255732008268</v>
      </c>
      <c r="P78" s="109">
        <f t="shared" si="21"/>
        <v>-101.56023433315772</v>
      </c>
      <c r="Q78" s="109">
        <f t="shared" si="21"/>
        <v>70.93306266736911</v>
      </c>
      <c r="R78" s="109">
        <f t="shared" si="21"/>
        <v>-107.91398831105741</v>
      </c>
      <c r="S78" s="109">
        <f>-SUM(S62:S77)+S57</f>
        <v>62.48028278140791</v>
      </c>
      <c r="T78" s="109">
        <f>-SUM(T62:T77)+T57</f>
        <v>282.813694537743</v>
      </c>
      <c r="U78" s="109">
        <f>-SUM(U62:U77)+U57</f>
        <v>204.30496805752836</v>
      </c>
      <c r="V78" s="109">
        <f>-SUM(V62:V77)+V57</f>
        <v>80.16405510528148</v>
      </c>
      <c r="W78" s="33"/>
      <c r="X78" s="52">
        <f>SUM(X62:X77)</f>
        <v>2009</v>
      </c>
      <c r="Y78" s="52">
        <f>SUM(Y62:Y77)</f>
        <v>119.774</v>
      </c>
    </row>
    <row r="79" spans="4:23" ht="14.25" thickBot="1" thickTop="1">
      <c r="D79" s="47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4"/>
    </row>
    <row r="80" spans="1:25" s="15" customFormat="1" ht="13.5" thickBot="1">
      <c r="A80" s="106" t="s">
        <v>49</v>
      </c>
      <c r="B80" s="107" t="s">
        <v>21</v>
      </c>
      <c r="C80" s="107"/>
      <c r="D80" s="110">
        <f>+D78</f>
        <v>84.17590000000001</v>
      </c>
      <c r="E80" s="111">
        <f>+D80+E78</f>
        <v>366.2068424</v>
      </c>
      <c r="F80" s="111">
        <f aca="true" t="shared" si="22" ref="F80:R80">+E80+F78</f>
        <v>405.129338608</v>
      </c>
      <c r="G80" s="111">
        <f t="shared" si="22"/>
        <v>439.886545533784</v>
      </c>
      <c r="H80" s="111">
        <f t="shared" si="22"/>
        <v>471.7679835532085</v>
      </c>
      <c r="I80" s="111">
        <f t="shared" si="22"/>
        <v>179.95918139682323</v>
      </c>
      <c r="J80" s="111">
        <f t="shared" si="22"/>
        <v>230.9276790556537</v>
      </c>
      <c r="K80" s="111">
        <f t="shared" si="22"/>
        <v>150.87585159539577</v>
      </c>
      <c r="L80" s="112">
        <f t="shared" si="22"/>
        <v>74.98071548918249</v>
      </c>
      <c r="M80" s="111">
        <f t="shared" si="22"/>
        <v>273.70803014428895</v>
      </c>
      <c r="N80" s="112">
        <f t="shared" si="22"/>
        <v>69.53887407698616</v>
      </c>
      <c r="O80" s="111">
        <f t="shared" si="22"/>
        <v>119.06143139706884</v>
      </c>
      <c r="P80" s="111">
        <f t="shared" si="22"/>
        <v>17.50119706391112</v>
      </c>
      <c r="Q80" s="111">
        <f t="shared" si="22"/>
        <v>88.43425973128024</v>
      </c>
      <c r="R80" s="112">
        <f t="shared" si="22"/>
        <v>-19.479728579777174</v>
      </c>
      <c r="S80" s="131">
        <f>+R80+S78</f>
        <v>43.000554201630734</v>
      </c>
      <c r="T80" s="131">
        <f>+S80+T78</f>
        <v>325.81424873937374</v>
      </c>
      <c r="U80" s="131">
        <f>+T80+U78</f>
        <v>530.119216796902</v>
      </c>
      <c r="V80" s="131">
        <f>+U80+V78</f>
        <v>610.2832719021835</v>
      </c>
      <c r="W80" s="33"/>
      <c r="X80" s="35"/>
      <c r="Y80" s="17"/>
    </row>
    <row r="81" spans="1:25" s="15" customFormat="1" ht="12.75">
      <c r="A81" s="16"/>
      <c r="D81" s="96"/>
      <c r="E81" s="34"/>
      <c r="F81" s="34"/>
      <c r="G81" s="34"/>
      <c r="H81" s="34"/>
      <c r="I81" s="34"/>
      <c r="J81" s="34"/>
      <c r="K81" s="34"/>
      <c r="L81" s="96"/>
      <c r="M81" s="34"/>
      <c r="N81" s="96"/>
      <c r="O81" s="34"/>
      <c r="P81" s="34"/>
      <c r="Q81" s="34"/>
      <c r="R81" s="34"/>
      <c r="S81" s="34"/>
      <c r="T81" s="34"/>
      <c r="U81" s="34"/>
      <c r="V81" s="34"/>
      <c r="W81" s="33"/>
      <c r="X81" s="35"/>
      <c r="Y81" s="17"/>
    </row>
    <row r="82" spans="1:25" s="15" customFormat="1" ht="12.75">
      <c r="A82" s="16"/>
      <c r="B82" s="114" t="s">
        <v>91</v>
      </c>
      <c r="C82" s="115"/>
      <c r="D82" s="116"/>
      <c r="E82" s="116">
        <f>+((+G91+G92)/4)</f>
        <v>5.547375000000001</v>
      </c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7"/>
      <c r="S82" s="132"/>
      <c r="T82" s="132"/>
      <c r="U82" s="132"/>
      <c r="V82" s="132"/>
      <c r="W82" s="33"/>
      <c r="X82" s="35"/>
      <c r="Y82" s="17"/>
    </row>
    <row r="83" spans="1:25" s="15" customFormat="1" ht="12.75">
      <c r="A83" s="16"/>
      <c r="D83" s="96"/>
      <c r="E83" s="34"/>
      <c r="F83" s="34"/>
      <c r="G83" s="34"/>
      <c r="H83" s="34"/>
      <c r="I83" s="34"/>
      <c r="J83" s="34"/>
      <c r="K83" s="34"/>
      <c r="L83" s="96"/>
      <c r="M83" s="34"/>
      <c r="N83" s="96"/>
      <c r="O83" s="34"/>
      <c r="P83" s="34"/>
      <c r="Q83" s="34"/>
      <c r="R83" s="34"/>
      <c r="S83" s="34"/>
      <c r="T83" s="34"/>
      <c r="U83" s="34"/>
      <c r="V83" s="34"/>
      <c r="W83" s="33"/>
      <c r="X83" s="35"/>
      <c r="Y83" s="17"/>
    </row>
    <row r="84" ht="12.75">
      <c r="B84" s="50" t="s">
        <v>47</v>
      </c>
    </row>
    <row r="85" spans="2:21" ht="12.75">
      <c r="B85" s="50"/>
      <c r="U85" t="s">
        <v>82</v>
      </c>
    </row>
    <row r="86" spans="2:24" ht="12.75">
      <c r="B86" s="50"/>
      <c r="U86" t="s">
        <v>83</v>
      </c>
      <c r="W86" t="s">
        <v>84</v>
      </c>
      <c r="X86" s="10">
        <v>-84</v>
      </c>
    </row>
    <row r="87" spans="2:24" ht="12.75">
      <c r="B87" s="50"/>
      <c r="D87" s="80"/>
      <c r="E87" s="81" t="s">
        <v>62</v>
      </c>
      <c r="F87" s="82"/>
      <c r="G87" s="83"/>
      <c r="W87" t="s">
        <v>85</v>
      </c>
      <c r="X87" s="10">
        <v>-239</v>
      </c>
    </row>
    <row r="88" spans="2:24" ht="12.75">
      <c r="B88" s="50"/>
      <c r="D88" s="55" t="s">
        <v>22</v>
      </c>
      <c r="E88" s="79" t="s">
        <v>81</v>
      </c>
      <c r="F88" s="56" t="s">
        <v>80</v>
      </c>
      <c r="G88" s="56" t="s">
        <v>17</v>
      </c>
      <c r="U88" t="s">
        <v>87</v>
      </c>
      <c r="X88" s="10">
        <v>-184</v>
      </c>
    </row>
    <row r="89" spans="2:24" ht="13.5" thickBot="1">
      <c r="B89" s="50"/>
      <c r="C89" s="6" t="s">
        <v>14</v>
      </c>
      <c r="D89" s="6">
        <v>1</v>
      </c>
      <c r="E89" s="14">
        <v>251.1</v>
      </c>
      <c r="F89" s="5">
        <v>10.045872</v>
      </c>
      <c r="G89" s="5">
        <f>10*25*0.0425</f>
        <v>10.625</v>
      </c>
      <c r="U89" t="s">
        <v>86</v>
      </c>
      <c r="X89" s="84">
        <f>SUM(X78:X88)</f>
        <v>1502</v>
      </c>
    </row>
    <row r="90" spans="2:7" ht="13.5" thickTop="1">
      <c r="B90" s="50"/>
      <c r="C90" s="6" t="s">
        <v>37</v>
      </c>
      <c r="D90" s="6">
        <v>2</v>
      </c>
      <c r="E90" s="14">
        <v>151.6</v>
      </c>
      <c r="F90" s="5">
        <v>6.062128</v>
      </c>
      <c r="G90" s="5">
        <f>6*1.25</f>
        <v>7.5</v>
      </c>
    </row>
    <row r="91" spans="2:7" ht="13.5" thickBot="1">
      <c r="B91" s="50"/>
      <c r="C91" s="6" t="s">
        <v>38</v>
      </c>
      <c r="D91" s="6">
        <v>3</v>
      </c>
      <c r="E91" s="14">
        <f>203</f>
        <v>203</v>
      </c>
      <c r="F91" s="5">
        <v>8.1209</v>
      </c>
      <c r="G91" s="5">
        <f>203*0.0675</f>
        <v>13.7025</v>
      </c>
    </row>
    <row r="92" spans="3:24" ht="18.75" thickBot="1">
      <c r="C92" s="6" t="s">
        <v>39</v>
      </c>
      <c r="D92" s="6">
        <v>5</v>
      </c>
      <c r="E92" s="14">
        <f>123</f>
        <v>123</v>
      </c>
      <c r="F92" s="5">
        <v>4.91992</v>
      </c>
      <c r="G92" s="5">
        <f>123*0.069</f>
        <v>8.487</v>
      </c>
      <c r="S92" s="18" t="s">
        <v>64</v>
      </c>
      <c r="T92" s="93" t="s">
        <v>55</v>
      </c>
      <c r="U92" t="s">
        <v>54</v>
      </c>
      <c r="V92" s="14">
        <f>(+$E$23+$F$23)*2*0+147.2*4</f>
        <v>588.8</v>
      </c>
      <c r="W92" s="16" t="s">
        <v>63</v>
      </c>
      <c r="X92" s="64">
        <f>+X89/+(V92)</f>
        <v>2.550951086956522</v>
      </c>
    </row>
    <row r="93" spans="4:24" ht="12.75">
      <c r="D93" s="6">
        <v>7</v>
      </c>
      <c r="E93" s="14">
        <v>2.9</v>
      </c>
      <c r="F93" s="5">
        <v>0.383333</v>
      </c>
      <c r="G93" s="5">
        <f>3*0.05</f>
        <v>0.15000000000000002</v>
      </c>
      <c r="S93" s="1"/>
      <c r="T93" s="1"/>
      <c r="X93" s="51"/>
    </row>
    <row r="94" spans="5:25" ht="13.5" thickBot="1">
      <c r="E94" s="14"/>
      <c r="X94" s="1" t="s">
        <v>58</v>
      </c>
      <c r="Y94" s="53">
        <f>+Y78*0.5</f>
        <v>59.887</v>
      </c>
    </row>
    <row r="95" spans="4:25" ht="18.75" thickBot="1">
      <c r="D95" s="15" t="s">
        <v>35</v>
      </c>
      <c r="E95" s="32">
        <f>SUM(E89:E94)</f>
        <v>731.6</v>
      </c>
      <c r="F95" s="54">
        <f>SUM(F89:F94)</f>
        <v>29.532153000000005</v>
      </c>
      <c r="G95" s="54">
        <f>SUM(G89:G94)</f>
        <v>40.4645</v>
      </c>
      <c r="S95" s="18" t="s">
        <v>56</v>
      </c>
      <c r="T95" s="93" t="s">
        <v>55</v>
      </c>
      <c r="U95" t="s">
        <v>54</v>
      </c>
      <c r="V95" s="14">
        <f>(+$E$23+$F$23)</f>
        <v>281.73293860800004</v>
      </c>
      <c r="X95" s="23" t="s">
        <v>57</v>
      </c>
      <c r="Y95" s="62">
        <f>+V95/Y94</f>
        <v>4.704408946983486</v>
      </c>
    </row>
    <row r="96" ht="13.5" thickTop="1"/>
    <row r="97" ht="12.75">
      <c r="B97" s="78"/>
    </row>
    <row r="102" ht="12.75">
      <c r="L102" s="77"/>
    </row>
  </sheetData>
  <sheetProtection/>
  <printOptions horizontalCentered="1" verticalCentered="1"/>
  <pageMargins left="0.1968503937007874" right="0.1968503937007874" top="0.3937007874015748" bottom="0.3937007874015748" header="0.1968503937007874" footer="0.1968503937007874"/>
  <pageSetup fitToHeight="2" fitToWidth="1" orientation="landscape" paperSize="9" scale="66" r:id="rId3"/>
  <ignoredErrors>
    <ignoredError sqref="X69:X76" formulaRange="1"/>
    <ignoredError sqref="Q50:Q51 Q32 Q44:Q47 Q12 Q1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Vic</cp:lastModifiedBy>
  <cp:lastPrinted>2012-05-23T23:35:49Z</cp:lastPrinted>
  <dcterms:created xsi:type="dcterms:W3CDTF">2011-12-06T13:40:04Z</dcterms:created>
  <dcterms:modified xsi:type="dcterms:W3CDTF">2012-08-28T02:22:37Z</dcterms:modified>
  <cp:category/>
  <cp:version/>
  <cp:contentType/>
  <cp:contentStatus/>
</cp:coreProperties>
</file>